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3834467C-FEF8-42A7-B202-6CE905D1E51B}" xr6:coauthVersionLast="47" xr6:coauthVersionMax="47" xr10:uidLastSave="{00000000-0000-0000-0000-000000000000}"/>
  <bookViews>
    <workbookView xWindow="-108" yWindow="-108" windowWidth="23256" windowHeight="12720" xr2:uid="{FC83A88A-152B-4C08-8C5B-D786FBC55FC9}"/>
  </bookViews>
  <sheets>
    <sheet name="1" sheetId="1" r:id="rId1"/>
  </sheets>
  <externalReferences>
    <externalReference r:id="rId2"/>
  </externalReferences>
  <definedNames>
    <definedName name="newbasicPB4">[1]Sheet1!$T$4:$T$37</definedName>
    <definedName name="oldbasicPB4">[1]Sheet1!$S$4:$S$37</definedName>
    <definedName name="_xlnm.Print_Area" localSheetId="0">'1'!$J$1:$M$49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37" i="1" l="1"/>
  <c r="D133" i="1"/>
  <c r="D139" i="1" s="1"/>
  <c r="E97" i="1"/>
  <c r="K95" i="1"/>
  <c r="K96" i="1" s="1"/>
  <c r="K97" i="1" s="1"/>
  <c r="E94" i="1"/>
  <c r="E86" i="1"/>
  <c r="K84" i="1"/>
  <c r="K85" i="1" s="1"/>
  <c r="K86" i="1" s="1"/>
  <c r="K87" i="1" s="1"/>
  <c r="E84" i="1"/>
  <c r="C76" i="1"/>
  <c r="K74" i="1"/>
  <c r="K73" i="1"/>
  <c r="E67" i="1"/>
  <c r="E80" i="1" s="1"/>
  <c r="H47" i="1"/>
  <c r="L41" i="1"/>
  <c r="M32" i="1"/>
  <c r="M31" i="1"/>
  <c r="G29" i="1"/>
  <c r="G28" i="1"/>
  <c r="G27" i="1"/>
  <c r="G26" i="1"/>
  <c r="L45" i="1" s="1"/>
  <c r="L21" i="1"/>
  <c r="G22" i="1" s="1"/>
  <c r="G20" i="1"/>
  <c r="H22" i="1" s="1"/>
  <c r="H55" i="1" s="1"/>
  <c r="H18" i="1"/>
  <c r="H15" i="1"/>
  <c r="L44" i="1" s="1"/>
  <c r="M9" i="1"/>
  <c r="L9" i="1"/>
  <c r="G8" i="1"/>
  <c r="G5" i="1"/>
  <c r="G4" i="1"/>
  <c r="G7" i="1" s="1"/>
  <c r="G9" i="1" s="1"/>
  <c r="I2" i="1"/>
  <c r="K1" i="1"/>
  <c r="H10" i="1" l="1"/>
  <c r="H53" i="1"/>
  <c r="H56" i="1" s="1"/>
  <c r="H58" i="1" s="1"/>
  <c r="E93" i="1"/>
  <c r="H30" i="1"/>
  <c r="H59" i="1" l="1"/>
  <c r="H60" i="1" s="1"/>
  <c r="L43" i="1"/>
  <c r="M45" i="1" s="1"/>
  <c r="M46" i="1" s="1"/>
  <c r="H24" i="1"/>
  <c r="E31" i="1" s="1"/>
  <c r="H31" i="1" s="1"/>
  <c r="H61" i="1" l="1"/>
  <c r="H62" i="1"/>
  <c r="E56" i="1"/>
  <c r="F33" i="1"/>
  <c r="G33" i="1" s="1"/>
  <c r="H34" i="1" s="1"/>
  <c r="M33" i="1"/>
  <c r="M34" i="1" s="1"/>
  <c r="M47" i="1"/>
  <c r="M48" i="1" s="1"/>
  <c r="M49" i="1" l="1"/>
  <c r="H35" i="1"/>
  <c r="H36" i="1" s="1"/>
  <c r="H37" i="1" l="1"/>
  <c r="H38" i="1" s="1"/>
  <c r="E62" i="1" l="1"/>
  <c r="E66" i="1"/>
  <c r="E79" i="1" l="1"/>
  <c r="E81" i="1" s="1"/>
  <c r="E92" i="1"/>
  <c r="E68" i="1"/>
  <c r="E69" i="1" s="1"/>
  <c r="E74" i="1" l="1"/>
  <c r="F74" i="1" s="1"/>
  <c r="G74" i="1" s="1"/>
  <c r="H74" i="1" s="1"/>
  <c r="E73" i="1"/>
  <c r="F73" i="1" s="1"/>
  <c r="G73" i="1" s="1"/>
  <c r="H73" i="1" s="1"/>
  <c r="E72" i="1"/>
  <c r="F72" i="1" s="1"/>
  <c r="G72" i="1" s="1"/>
  <c r="H72" i="1" s="1"/>
  <c r="E71" i="1"/>
  <c r="F71" i="1" s="1"/>
  <c r="G71" i="1" s="1"/>
  <c r="H71" i="1" s="1"/>
  <c r="H76" i="1" s="1"/>
  <c r="E83" i="1"/>
  <c r="E85" i="1"/>
  <c r="F85" i="1" l="1"/>
  <c r="H79" i="1" s="1"/>
  <c r="E87" i="1"/>
  <c r="E88" i="1" s="1"/>
  <c r="E89" i="1" s="1"/>
  <c r="F89" i="1" s="1"/>
  <c r="H80" i="1" s="1"/>
  <c r="E95" i="1"/>
  <c r="H81" i="1" l="1"/>
  <c r="H82" i="1"/>
  <c r="H83" i="1"/>
  <c r="E98" i="1"/>
  <c r="E99" i="1" s="1"/>
  <c r="H93" i="1" s="1"/>
  <c r="H98" i="1" s="1"/>
  <c r="H88" i="1"/>
  <c r="E96" i="1"/>
  <c r="H64" i="1" l="1"/>
  <c r="H39" i="1" s="1"/>
  <c r="H41" i="1" s="1"/>
  <c r="H48" i="1" s="1"/>
  <c r="B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5F22597C-6737-4BCF-85EC-B816FB336ADB}">
      <text>
        <r>
          <rPr>
            <b/>
            <sz val="8"/>
            <color indexed="81"/>
            <rFont val="Tahoma"/>
            <family val="2"/>
          </rPr>
          <t>RATHORE:</t>
        </r>
        <r>
          <rPr>
            <sz val="8"/>
            <color indexed="81"/>
            <rFont val="Tahoma"/>
            <family val="2"/>
          </rPr>
          <t xml:space="preserve">
</t>
        </r>
      </text>
    </comment>
    <comment ref="C43" authorId="0" shapeId="0" xr:uid="{02A874BE-ACCF-4AC8-BD65-4282412A0903}">
      <text>
        <r>
          <rPr>
            <b/>
            <sz val="8"/>
            <color indexed="81"/>
            <rFont val="Tahoma"/>
            <family val="2"/>
          </rPr>
          <t>RATHORE:</t>
        </r>
        <r>
          <rPr>
            <sz val="8"/>
            <color indexed="81"/>
            <rFont val="Tahoma"/>
            <family val="2"/>
          </rPr>
          <t xml:space="preserve">
</t>
        </r>
      </text>
    </comment>
    <comment ref="C44" authorId="0" shapeId="0" xr:uid="{81E85442-A9A4-464F-A802-F9FBD409184E}">
      <text>
        <r>
          <rPr>
            <b/>
            <sz val="8"/>
            <color indexed="81"/>
            <rFont val="Tahoma"/>
            <family val="2"/>
          </rPr>
          <t>RATHORE:</t>
        </r>
        <r>
          <rPr>
            <sz val="8"/>
            <color indexed="81"/>
            <rFont val="Tahoma"/>
            <family val="2"/>
          </rPr>
          <t xml:space="preserve">
</t>
        </r>
      </text>
    </comment>
    <comment ref="B48" authorId="0" shapeId="0" xr:uid="{583BB851-A151-4537-A671-BBCAEA554424}">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<sst xmlns="http://schemas.openxmlformats.org/spreadsheetml/2006/main" count="284" uniqueCount="253">
  <si>
    <t>Dr. V.K. Singhania's Book</t>
  </si>
  <si>
    <t xml:space="preserve">A S S E S S M E N T   Y E A R  :  2 0 2 1 - 2 2 </t>
  </si>
  <si>
    <t>Exempted</t>
  </si>
  <si>
    <t>Filing Date</t>
  </si>
  <si>
    <t>65th Edition:  August-2021</t>
  </si>
  <si>
    <t xml:space="preserve">Case Study-1 </t>
  </si>
  <si>
    <t>Pgs  527-528</t>
  </si>
  <si>
    <t xml:space="preserve">Raman K. Mehta </t>
  </si>
  <si>
    <t xml:space="preserve">Salary  </t>
  </si>
  <si>
    <r>
      <t xml:space="preserve">SALARIES </t>
    </r>
    <r>
      <rPr>
        <sz val="10"/>
        <color theme="1"/>
        <rFont val="Arial"/>
        <family val="2"/>
      </rPr>
      <t>U/S 15-17</t>
    </r>
  </si>
  <si>
    <t>Amount (Rs.)</t>
  </si>
  <si>
    <t>i</t>
  </si>
  <si>
    <t xml:space="preserve">Conveyance Allowance </t>
  </si>
  <si>
    <t xml:space="preserve">Due date </t>
  </si>
  <si>
    <t>Sec 17(1)</t>
  </si>
  <si>
    <t>Basic Salary and Allowances</t>
  </si>
  <si>
    <t>House Rent Allowance</t>
  </si>
  <si>
    <t>Sec 17(2)</t>
  </si>
  <si>
    <t xml:space="preserve">Value of Perquisites </t>
  </si>
  <si>
    <t>ii</t>
  </si>
  <si>
    <t>Children Education Allowance</t>
  </si>
  <si>
    <t>Calculation</t>
  </si>
  <si>
    <t>Sec 17(3)</t>
  </si>
  <si>
    <t xml:space="preserve">Profit in lieu of Salary </t>
  </si>
  <si>
    <t>Transport Allowance</t>
  </si>
  <si>
    <t xml:space="preserve">Gross Salary </t>
  </si>
  <si>
    <t>Lunch Allowance</t>
  </si>
  <si>
    <t>Late Fees</t>
  </si>
  <si>
    <t>Sec 10(14)</t>
  </si>
  <si>
    <t xml:space="preserve">Less Exempt Allowances </t>
  </si>
  <si>
    <t xml:space="preserve">52000 + 8000 + 2400 </t>
  </si>
  <si>
    <t>Leave Salary</t>
  </si>
  <si>
    <t>Jan-Mar 2022</t>
  </si>
  <si>
    <t xml:space="preserve">Net Salary </t>
  </si>
  <si>
    <t>Sec 16(ia)</t>
  </si>
  <si>
    <t>Less Standard  Deduction</t>
  </si>
  <si>
    <t xml:space="preserve">Leave Travel Concession </t>
  </si>
  <si>
    <r>
      <t xml:space="preserve">HOUSE PROPERTY </t>
    </r>
    <r>
      <rPr>
        <sz val="10"/>
        <color theme="1"/>
        <rFont val="Arial"/>
        <family val="2"/>
      </rPr>
      <t>U/S 22-27</t>
    </r>
  </si>
  <si>
    <t>Self-Occupied</t>
  </si>
  <si>
    <t xml:space="preserve">Annual Value </t>
  </si>
  <si>
    <t xml:space="preserve">Nil </t>
  </si>
  <si>
    <t>Municipal Taxes</t>
  </si>
  <si>
    <t xml:space="preserve">Less  Municipal Taxes Paid </t>
  </si>
  <si>
    <t>Intt on Borrowed Cap</t>
  </si>
  <si>
    <t xml:space="preserve">Fire / Gen Insurance Prem </t>
  </si>
  <si>
    <t>Sec 24</t>
  </si>
  <si>
    <t>LESS: Deduction</t>
  </si>
  <si>
    <t xml:space="preserve">Intt on H  Loan </t>
  </si>
  <si>
    <t xml:space="preserve">Max allowed </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</si>
  <si>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</si>
  <si>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</si>
  <si>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</si>
  <si>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</si>
  <si>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</si>
  <si>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 xml:space="preserve">Saving Bank Interest (Yes Bank) </t>
  </si>
  <si>
    <t xml:space="preserve">Bank FDR Intt (Net of TDS@10%) </t>
  </si>
  <si>
    <t xml:space="preserve">Interest on Income Tax Refund </t>
  </si>
  <si>
    <t>Gross FDR Interest</t>
  </si>
  <si>
    <t xml:space="preserve">Yes Bank Fixed Deposit Interest (900000 * 100/90) </t>
  </si>
  <si>
    <t>GROSS TOTAL INCOME</t>
  </si>
  <si>
    <t xml:space="preserve">LESS: DEDUCTIONS UNDER CHAPTER VI-A </t>
  </si>
  <si>
    <t>Section 80C</t>
  </si>
  <si>
    <t xml:space="preserve">Sec 80C </t>
  </si>
  <si>
    <t>Max Limit 150000</t>
  </si>
  <si>
    <t xml:space="preserve">Section 80CCD(1B) </t>
  </si>
  <si>
    <r>
      <t xml:space="preserve">Sec  80CCD(1B) </t>
    </r>
    <r>
      <rPr>
        <sz val="9"/>
        <color theme="1"/>
        <rFont val="Arial"/>
        <family val="2"/>
      </rPr>
      <t>NPS</t>
    </r>
  </si>
  <si>
    <t>Max Limit   50000</t>
  </si>
  <si>
    <t xml:space="preserve">Section 80D (Medical Insurance Premium) </t>
  </si>
  <si>
    <t>Sec 80D</t>
  </si>
  <si>
    <t>Mediclaim</t>
  </si>
  <si>
    <t>Max Limit   25000</t>
  </si>
  <si>
    <t>Self &amp; Spouse</t>
  </si>
  <si>
    <t>Sr Citizen</t>
  </si>
  <si>
    <r>
      <t>Mediclaim-</t>
    </r>
    <r>
      <rPr>
        <sz val="9"/>
        <color theme="9" tint="-0.499984740745262"/>
        <rFont val="Arial"/>
        <family val="2"/>
      </rPr>
      <t>Parents</t>
    </r>
  </si>
  <si>
    <r>
      <t xml:space="preserve">Parents  </t>
    </r>
    <r>
      <rPr>
        <sz val="10"/>
        <color rgb="FF0000FF"/>
        <rFont val="Arial"/>
        <family val="2"/>
      </rPr>
      <t>(Sr Citizen)</t>
    </r>
    <r>
      <rPr>
        <sz val="10"/>
        <color theme="3" tint="-0.249977111117893"/>
        <rFont val="Arial"/>
        <family val="2"/>
      </rPr>
      <t xml:space="preserve"> 69 yrs</t>
    </r>
  </si>
  <si>
    <t>Sec 80TTA</t>
  </si>
  <si>
    <t xml:space="preserve">SB Interest </t>
  </si>
  <si>
    <t>Max Limit   10000</t>
  </si>
  <si>
    <t xml:space="preserve">Income Tax </t>
  </si>
  <si>
    <t xml:space="preserve">TOTAL  INCOME </t>
  </si>
  <si>
    <t>Rounding Off u/s 288A</t>
  </si>
  <si>
    <t>250,000  to  500,000</t>
  </si>
  <si>
    <t xml:space="preserve">TAX ON TOTAL INCOME </t>
  </si>
  <si>
    <t xml:space="preserve">INCOME  </t>
  </si>
  <si>
    <t>TAX</t>
  </si>
  <si>
    <t>500,000 to 1000,000</t>
  </si>
  <si>
    <t>NORMAL INCOME</t>
  </si>
  <si>
    <t xml:space="preserve">      Above   1000,000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</si>
  <si>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</si>
  <si>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</si>
  <si>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</si>
  <si>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Details of Assets &amp; Liabilities</t>
  </si>
  <si>
    <t xml:space="preserve">Acq Cost </t>
  </si>
  <si>
    <t>Mkt value</t>
  </si>
  <si>
    <t xml:space="preserve">ADD : HEALTH &amp; EDUCATION CESS (4 % on Income Tax + Surcharge) </t>
  </si>
  <si>
    <t>Jewellery (1991-92)</t>
  </si>
  <si>
    <t>19-20 yrs</t>
  </si>
  <si>
    <r>
      <t>TOTAL TAX PAYABLE</t>
    </r>
    <r>
      <rPr>
        <sz val="10"/>
        <color theme="1"/>
        <rFont val="Arial"/>
        <family val="2"/>
      </rPr>
      <t xml:space="preserve"> (including Surcharge &amp; Cess) </t>
    </r>
  </si>
  <si>
    <t>Self-Occpuied Resi (2002-03)</t>
  </si>
  <si>
    <t>30-31 yrs</t>
  </si>
  <si>
    <t xml:space="preserve">ADD : INTEREST U/S 234A, 234B &amp; 234C </t>
  </si>
  <si>
    <t>Interest till the date of making Video i.e 21-08-21</t>
  </si>
  <si>
    <t>Plot of Land  (1982-83)</t>
  </si>
  <si>
    <t>10-11  yrs</t>
  </si>
  <si>
    <t xml:space="preserve">ADD : Late Fees U/S 234F </t>
  </si>
  <si>
    <t>Cash in Hand</t>
  </si>
  <si>
    <t>TOTAL TAX AND INTEREST PAYABLE</t>
  </si>
  <si>
    <t xml:space="preserve">TAX PAID U/S 199 : </t>
  </si>
  <si>
    <t xml:space="preserve">Advance Tax Paid  U/S 210 </t>
  </si>
  <si>
    <t xml:space="preserve">Salary after Std Deduction </t>
  </si>
  <si>
    <t>Self-Assessment Tax Paid  U/S 140A</t>
  </si>
  <si>
    <t xml:space="preserve">Intt on Housing Loan </t>
  </si>
  <si>
    <t xml:space="preserve">T. D. S.  U/S 192 </t>
  </si>
  <si>
    <t>Employer</t>
  </si>
  <si>
    <t>Deds 80C / 80CCD (1B) / 80D</t>
  </si>
  <si>
    <t xml:space="preserve">T. D. S.  U/S 194A </t>
  </si>
  <si>
    <t xml:space="preserve">Yes Bank </t>
  </si>
  <si>
    <t xml:space="preserve">Surcharge </t>
  </si>
  <si>
    <t>Rounding Off u/s 288B</t>
  </si>
  <si>
    <t xml:space="preserve">HEC </t>
  </si>
  <si>
    <t>Tax Calculations  by Dr SB Rathore,  Associate Professor of Commerce (Oct-77 to Dec-19) in Shyam Lal College (University of Delhi), Delhi-110032</t>
  </si>
  <si>
    <t>TDS to be deducted  by the Employer</t>
  </si>
  <si>
    <t>Website: www.taxclasses.in</t>
  </si>
  <si>
    <t xml:space="preserve">FaceBook: DrSB Rathore </t>
  </si>
  <si>
    <t xml:space="preserve">YouTube: Dr Rathore's tax Video Lectures (No Advertisements) </t>
  </si>
  <si>
    <t>Old Regime</t>
  </si>
  <si>
    <t>New Tax Rates Regime</t>
  </si>
  <si>
    <t>Old Tax Rates Regime</t>
  </si>
  <si>
    <t>Salaries</t>
  </si>
  <si>
    <r>
      <t>Upto 2,50,000</t>
    </r>
    <r>
      <rPr>
        <sz val="10"/>
        <color rgb="FFC00000"/>
        <rFont val="Arial"/>
        <family val="2"/>
      </rPr>
      <t xml:space="preserve"> </t>
    </r>
  </si>
  <si>
    <t>House Property</t>
  </si>
  <si>
    <t>2,50,001   to    5,00,000</t>
  </si>
  <si>
    <t>Other Sources</t>
  </si>
  <si>
    <t>5,00,001   to  10,00,000</t>
  </si>
  <si>
    <t>Total income</t>
  </si>
  <si>
    <t>Above            10,00,000</t>
  </si>
  <si>
    <t xml:space="preserve">   Upto             2,50,000</t>
  </si>
  <si>
    <t>5,00,001   to    7,50,000</t>
  </si>
  <si>
    <t>7,50,001   to  10,00,000</t>
  </si>
  <si>
    <t>Total Liability</t>
  </si>
  <si>
    <t>10,00,001 to  12,50,000</t>
  </si>
  <si>
    <t>12,50,001  to  15,00,000</t>
  </si>
  <si>
    <t>Calculation  of Interest under Sections 234A, 234B &amp; 234C</t>
  </si>
  <si>
    <t>Total Interest</t>
  </si>
  <si>
    <t xml:space="preserve">   Above          15,00,000</t>
  </si>
  <si>
    <t>Section 234C: In case of Non-Sr Citizen: If  Amount Exceeds Rs. 10000</t>
  </si>
  <si>
    <t xml:space="preserve">No Change </t>
  </si>
  <si>
    <t>Part -B</t>
  </si>
  <si>
    <t>80C - 80GGC</t>
  </si>
  <si>
    <t>Total Tax, Surcharge &amp; Cess</t>
  </si>
  <si>
    <t>Rebate u/s 87A (if TI upto  5 Lakhs)</t>
  </si>
  <si>
    <t>Part -C</t>
  </si>
  <si>
    <t>80H - 80RRB</t>
  </si>
  <si>
    <t>Less TDS by the Employer, Bank</t>
  </si>
  <si>
    <t>10%  Surcharge   (TI 50 Lakhs - 100 Lakhs)</t>
  </si>
  <si>
    <t>Part- CA</t>
  </si>
  <si>
    <t>80TTA, 80TTB</t>
  </si>
  <si>
    <t xml:space="preserve">Liability for Advance tax </t>
  </si>
  <si>
    <t>15%  Surcharge   (TI 100 Lakhs - 200 Lakhs)</t>
  </si>
  <si>
    <t>Part-D</t>
  </si>
  <si>
    <t>80U</t>
  </si>
  <si>
    <t>Health &amp; Education Cess @ 4%</t>
  </si>
  <si>
    <t>Deposit Date</t>
  </si>
  <si>
    <t xml:space="preserve">Tax Amount </t>
  </si>
  <si>
    <t>Last Date</t>
  </si>
  <si>
    <t xml:space="preserve">Amount </t>
  </si>
  <si>
    <t>Round Down by 100</t>
  </si>
  <si>
    <t xml:space="preserve">Shortfall </t>
  </si>
  <si>
    <t>Interest</t>
  </si>
  <si>
    <t xml:space="preserve">Month </t>
  </si>
  <si>
    <t>Interest u/s 234C</t>
  </si>
  <si>
    <t>Sept</t>
  </si>
  <si>
    <t>Oct</t>
  </si>
  <si>
    <t xml:space="preserve">Nov </t>
  </si>
  <si>
    <t xml:space="preserve">Dec </t>
  </si>
  <si>
    <t>Section 234B:  If  Amount Exceeds Rs. 10000 (Less than 90 %.....)</t>
  </si>
  <si>
    <t xml:space="preserve"> Tax Liability after TDS</t>
  </si>
  <si>
    <t>Interest u/s 234B</t>
  </si>
  <si>
    <t>Advance Tax   till 31-03-2021</t>
  </si>
  <si>
    <t xml:space="preserve">Tax Liability after Advance Tax </t>
  </si>
  <si>
    <t xml:space="preserve">Self-Assessment Tax Paid </t>
  </si>
  <si>
    <t xml:space="preserve">Adjusted for  Intt u/s 234B &amp; 234C  </t>
  </si>
  <si>
    <t xml:space="preserve">Net Amt Paid </t>
  </si>
  <si>
    <t>Tax Liability after Self-Assessment Tax</t>
  </si>
  <si>
    <t>Section 234A:  If Amount Exceeds Rs. 100000</t>
  </si>
  <si>
    <t>Interest u/s 234A</t>
  </si>
  <si>
    <t>Less Advance tax paid by 31-03-2021</t>
  </si>
  <si>
    <t>Add Interest u/s 234C till 31-03-2021</t>
  </si>
  <si>
    <t>Add Interest u/s 234B till 30-04-2021</t>
  </si>
  <si>
    <t>Less Self-Assessment Tax Paid on 30-04-2021</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</si>
  <si>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</si>
  <si>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</si>
  <si>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</si>
  <si>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</si>
  <si>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</si>
  <si>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</si>
  <si>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</si>
  <si>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</si>
  <si>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</si>
  <si>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</si>
  <si>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</si>
  <si>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</si>
  <si>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</si>
  <si>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</si>
  <si>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</si>
  <si>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</si>
  <si>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</si>
  <si>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</si>
  <si>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</si>
  <si>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</si>
  <si>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</si>
  <si>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</si>
  <si>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</si>
  <si>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</si>
  <si>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</si>
  <si>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</si>
  <si>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</si>
  <si>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</si>
  <si>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</si>
  <si>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</si>
  <si>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</si>
  <si>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</si>
  <si>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</si>
  <si>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</si>
  <si>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</si>
  <si>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</si>
  <si>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</si>
  <si>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</si>
  <si>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</si>
  <si>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</si>
  <si>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</si>
  <si>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</si>
  <si>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</si>
  <si>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</si>
  <si>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</si>
  <si>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</si>
  <si>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Basic Salary </t>
  </si>
  <si>
    <t xml:space="preserve">Sec 10(5) Leave Travel </t>
  </si>
  <si>
    <t xml:space="preserve">Std Ded  u/s 16 (ia) </t>
  </si>
  <si>
    <t>Dearness Allowance</t>
  </si>
  <si>
    <t>Sec 10(13A) HRA</t>
  </si>
  <si>
    <t>Employment Tax</t>
  </si>
  <si>
    <t>Conveyance Allowance</t>
  </si>
  <si>
    <t xml:space="preserve">Sec 10(14)(i) Conveyance </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</si>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</sst>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72" x14ac:knownFonts="1">
    <font>
      <sz val="11"/>
      <color theme="1"/>
      <name val="Calibri"/>
      <family val="2"/>
      <scheme val="minor"/>
    </font>
    <font>
      <sz val="10"/>
      <name val="Arial"/>
      <family val="2"/>
    </font>
    <font>
      <b/>
      <sz val="8"/>
      <color rgb="FF2B0CE4"/>
      <name val="Arial"/>
      <family val="2"/>
    </font>
    <font>
      <sz val="11"/>
      <color theme="1"/>
      <name val="Arial"/>
      <family val="2"/>
    </font>
    <font>
      <sz val="9"/>
      <color theme="1"/>
      <name val="Arial"/>
      <family val="2"/>
    </font>
    <font>
      <b/>
      <sz val="10"/>
      <color rgb="FFC00000"/>
      <name val="Arial"/>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8"/>
      <color rgb="FF7030A0"/>
      <name val="Arial"/>
      <family val="2"/>
    </font>
    <font>
      <b/>
      <sz val="10"/>
      <color rgb="FF0000FF"/>
      <name val="Arial"/>
      <family val="2"/>
    </font>
    <font>
      <sz val="9"/>
      <color rgb="FF7030A0"/>
      <name val="Arial"/>
      <family val="2"/>
    </font>
    <font>
      <sz val="9"/>
      <name val="Arial"/>
      <family val="2"/>
    </font>
    <font>
      <sz val="8"/>
      <color theme="1"/>
      <name val="Arial Narrow"/>
      <family val="2"/>
    </font>
    <font>
      <u/>
      <sz val="10"/>
      <color theme="1"/>
      <name val="Arial"/>
      <family val="2"/>
    </font>
    <font>
      <sz val="10"/>
      <color theme="3" tint="-0.249977111117893"/>
      <name val="Arial"/>
      <family val="2"/>
    </font>
    <font>
      <i/>
      <u/>
      <sz val="10"/>
      <color theme="1"/>
      <name val="Arial"/>
      <family val="2"/>
    </font>
    <font>
      <i/>
      <sz val="10"/>
      <color theme="3" tint="-0.249977111117893"/>
      <name val="Arial"/>
      <family val="2"/>
    </font>
    <font>
      <sz val="9"/>
      <color theme="9" tint="-0.499984740745262"/>
      <name val="Arial"/>
      <family val="2"/>
    </font>
    <font>
      <i/>
      <sz val="8"/>
      <color theme="1"/>
      <name val="Arial"/>
      <family val="2"/>
    </font>
    <font>
      <b/>
      <sz val="10"/>
      <color rgb="FFFF0000"/>
      <name val="Arial Narrow"/>
      <family val="2"/>
    </font>
    <font>
      <sz val="8"/>
      <color rgb="FF0000FF"/>
      <name val="Arial"/>
      <family val="2"/>
    </font>
    <font>
      <sz val="10"/>
      <color theme="1"/>
      <name val="Arial Narrow"/>
      <family val="2"/>
    </font>
    <font>
      <sz val="9"/>
      <color rgb="FF00B0F0"/>
      <name val="Arial"/>
      <family val="2"/>
    </font>
    <font>
      <b/>
      <sz val="10"/>
      <color rgb="FF7030A0"/>
      <name val="Arial"/>
      <family val="2"/>
    </font>
    <font>
      <b/>
      <sz val="9"/>
      <color theme="7" tint="-0.249977111117893"/>
      <name val="Arial"/>
      <family val="2"/>
    </font>
    <font>
      <sz val="8"/>
      <color rgb="FF2B0CE4"/>
      <name val="Arial Narrow"/>
      <family val="2"/>
    </font>
    <font>
      <b/>
      <sz val="8"/>
      <color rgb="FFFF0000"/>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10"/>
      <color rgb="FFC00000"/>
      <name val="Arial"/>
      <family val="2"/>
    </font>
    <font>
      <sz val="8"/>
      <name val="Arial"/>
      <family val="2"/>
    </font>
    <font>
      <sz val="8"/>
      <color rgb="FFC00000"/>
      <name val="Arial"/>
      <family val="2"/>
    </font>
    <font>
      <b/>
      <sz val="10"/>
      <name val="Arial"/>
      <family val="2"/>
    </font>
    <font>
      <sz val="9"/>
      <color theme="8" tint="-0.249977111117893"/>
      <name val="Arial"/>
      <family val="2"/>
    </font>
    <font>
      <b/>
      <sz val="10"/>
      <color theme="4" tint="-0.249977111117893"/>
      <name val="Arial"/>
      <family val="2"/>
    </font>
    <font>
      <b/>
      <sz val="10"/>
      <color indexed="12"/>
      <name val="Arial"/>
      <family val="2"/>
    </font>
    <font>
      <b/>
      <sz val="9"/>
      <color rgb="FF0000FF"/>
      <name val="Arial"/>
      <family val="2"/>
    </font>
    <font>
      <b/>
      <sz val="9"/>
      <color theme="9" tint="-0.249977111117893"/>
      <name val="Arial"/>
      <family val="2"/>
    </font>
    <font>
      <sz val="10"/>
      <color indexed="12"/>
      <name val="Arial"/>
      <family val="2"/>
    </font>
    <font>
      <b/>
      <sz val="10"/>
      <color rgb="FF00B050"/>
      <name val="Arial"/>
      <family val="2"/>
    </font>
    <font>
      <b/>
      <u/>
      <sz val="11"/>
      <color indexed="10"/>
      <name val="Arial"/>
      <family val="2"/>
    </font>
    <font>
      <sz val="10"/>
      <color rgb="FFFF0000"/>
      <name val="Arial"/>
      <family val="2"/>
    </font>
    <font>
      <b/>
      <sz val="9"/>
      <color rgb="FFC00000"/>
      <name val="Arial"/>
      <family val="2"/>
    </font>
    <font>
      <i/>
      <sz val="10"/>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3">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274">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4" fillId="0" borderId="0" xfId="2" applyFont="1" applyAlignment="1">
      <alignment horizontal="center"/>
    </xf>
    <xf numFmtId="0" fontId="5" fillId="0" borderId="0" xfId="2" applyFont="1"/>
    <xf numFmtId="0" fontId="6" fillId="0" borderId="0" xfId="2" applyFont="1"/>
    <xf numFmtId="0" fontId="6" fillId="0" borderId="0" xfId="2" applyFont="1" applyAlignment="1">
      <alignment horizontal="center"/>
    </xf>
    <xf numFmtId="0" fontId="7" fillId="0" borderId="4" xfId="2" applyFont="1" applyBorder="1" applyAlignment="1">
      <alignment horizontal="center"/>
    </xf>
    <xf numFmtId="0" fontId="3" fillId="0" borderId="0" xfId="2" applyFont="1"/>
    <xf numFmtId="0" fontId="8" fillId="0" borderId="5" xfId="2" applyFont="1" applyBorder="1" applyAlignment="1">
      <alignment horizontal="center" shrinkToFit="1"/>
    </xf>
    <xf numFmtId="0" fontId="8" fillId="0" borderId="6" xfId="2" applyFont="1" applyBorder="1" applyAlignment="1">
      <alignment horizontal="center" shrinkToFit="1"/>
    </xf>
    <xf numFmtId="0" fontId="9" fillId="0" borderId="6" xfId="2" applyFont="1" applyBorder="1" applyAlignment="1">
      <alignment horizontal="center"/>
    </xf>
    <xf numFmtId="0" fontId="10" fillId="0" borderId="6" xfId="2" applyFont="1" applyBorder="1" applyAlignment="1">
      <alignment horizontal="center"/>
    </xf>
    <xf numFmtId="0" fontId="11" fillId="0" borderId="6" xfId="2" applyFont="1" applyBorder="1" applyAlignment="1">
      <alignment horizontal="center"/>
    </xf>
    <xf numFmtId="15" fontId="12" fillId="0" borderId="6" xfId="2" applyNumberFormat="1" applyFont="1" applyBorder="1" applyAlignment="1">
      <alignment horizontal="center"/>
    </xf>
    <xf numFmtId="1" fontId="13" fillId="2" borderId="7" xfId="2" applyNumberFormat="1" applyFont="1" applyFill="1" applyBorder="1" applyAlignment="1">
      <alignment horizontal="center" shrinkToFit="1"/>
    </xf>
    <xf numFmtId="1" fontId="6" fillId="0" borderId="0" xfId="2" applyNumberFormat="1" applyFont="1"/>
    <xf numFmtId="15" fontId="7" fillId="0" borderId="8" xfId="2" applyNumberFormat="1" applyFont="1" applyBorder="1" applyAlignment="1">
      <alignment horizontal="center"/>
    </xf>
    <xf numFmtId="1" fontId="10" fillId="0" borderId="9" xfId="2" applyNumberFormat="1" applyFont="1" applyBorder="1" applyAlignment="1">
      <alignment shrinkToFit="1"/>
    </xf>
    <xf numFmtId="0" fontId="14" fillId="0" borderId="0" xfId="2" applyFont="1"/>
    <xf numFmtId="0" fontId="6" fillId="0" borderId="10" xfId="2" applyFont="1" applyBorder="1"/>
    <xf numFmtId="0" fontId="15" fillId="0" borderId="0" xfId="2" applyFont="1" applyAlignment="1">
      <alignment horizontal="center"/>
    </xf>
    <xf numFmtId="0" fontId="15" fillId="0" borderId="11" xfId="2" applyFont="1" applyBorder="1" applyAlignment="1">
      <alignment horizontal="center"/>
    </xf>
    <xf numFmtId="0" fontId="12" fillId="0" borderId="8" xfId="2" applyFont="1" applyBorder="1" applyAlignment="1">
      <alignment horizontal="center"/>
    </xf>
    <xf numFmtId="0" fontId="10" fillId="0" borderId="9" xfId="2" applyFont="1" applyBorder="1" applyAlignment="1">
      <alignment shrinkToFit="1"/>
    </xf>
    <xf numFmtId="0" fontId="10" fillId="0" borderId="0" xfId="2" applyFont="1"/>
    <xf numFmtId="0" fontId="4" fillId="0" borderId="0" xfId="2" applyFont="1" applyAlignment="1">
      <alignment horizontal="left"/>
    </xf>
    <xf numFmtId="1" fontId="6" fillId="3" borderId="10" xfId="2" applyNumberFormat="1" applyFont="1" applyFill="1" applyBorder="1"/>
    <xf numFmtId="1" fontId="16" fillId="0" borderId="0" xfId="2" applyNumberFormat="1" applyFont="1"/>
    <xf numFmtId="1" fontId="16" fillId="0" borderId="11" xfId="2" applyNumberFormat="1" applyFont="1" applyBorder="1"/>
    <xf numFmtId="15" fontId="12" fillId="0" borderId="8" xfId="2" applyNumberFormat="1" applyFont="1" applyBorder="1" applyAlignment="1">
      <alignment horizontal="center"/>
    </xf>
    <xf numFmtId="0" fontId="10" fillId="0" borderId="8" xfId="2" applyFont="1" applyBorder="1" applyAlignment="1">
      <alignment horizontal="center"/>
    </xf>
    <xf numFmtId="1" fontId="6" fillId="3" borderId="12" xfId="2" applyNumberFormat="1" applyFont="1" applyFill="1" applyBorder="1"/>
    <xf numFmtId="0" fontId="17" fillId="0" borderId="0" xfId="2" applyFont="1" applyAlignment="1">
      <alignment horizontal="left" indent="1"/>
    </xf>
    <xf numFmtId="15" fontId="4" fillId="0" borderId="13" xfId="2" applyNumberFormat="1" applyFont="1" applyBorder="1" applyAlignment="1">
      <alignment horizontal="center"/>
    </xf>
    <xf numFmtId="0" fontId="17" fillId="0" borderId="0" xfId="2" applyFont="1" applyAlignment="1">
      <alignment horizontal="right"/>
    </xf>
    <xf numFmtId="1" fontId="6" fillId="0" borderId="14" xfId="2" applyNumberFormat="1" applyFont="1" applyBorder="1"/>
    <xf numFmtId="0" fontId="18" fillId="4" borderId="4" xfId="2" applyFont="1" applyFill="1" applyBorder="1" applyAlignment="1">
      <alignment horizontal="center"/>
    </xf>
    <xf numFmtId="0" fontId="19" fillId="0" borderId="0" xfId="2" applyFont="1"/>
    <xf numFmtId="0" fontId="10" fillId="0" borderId="0" xfId="2" applyFont="1" applyAlignment="1">
      <alignment horizontal="center"/>
    </xf>
    <xf numFmtId="17" fontId="20" fillId="0" borderId="8" xfId="2" applyNumberFormat="1" applyFont="1" applyBorder="1" applyAlignment="1">
      <alignment horizontal="center"/>
    </xf>
    <xf numFmtId="1" fontId="6" fillId="0" borderId="10" xfId="2" applyNumberFormat="1" applyFont="1" applyBorder="1"/>
    <xf numFmtId="0" fontId="21" fillId="0" borderId="15" xfId="2" applyFont="1" applyBorder="1" applyAlignment="1">
      <alignment vertical="center"/>
    </xf>
    <xf numFmtId="0" fontId="22" fillId="0" borderId="13" xfId="2" applyFont="1" applyBorder="1" applyAlignment="1">
      <alignment horizontal="center"/>
    </xf>
    <xf numFmtId="0" fontId="4" fillId="0" borderId="0" xfId="2" applyFont="1"/>
    <xf numFmtId="0" fontId="9" fillId="0" borderId="0" xfId="2" applyFont="1"/>
    <xf numFmtId="0" fontId="23" fillId="0" borderId="0" xfId="2" applyFont="1" applyAlignment="1">
      <alignment horizontal="left"/>
    </xf>
    <xf numFmtId="0" fontId="6" fillId="0" borderId="0" xfId="2" applyFont="1" applyAlignment="1">
      <alignment horizontal="left"/>
    </xf>
    <xf numFmtId="0" fontId="6" fillId="5" borderId="0" xfId="2" applyFont="1" applyFill="1" applyAlignment="1">
      <alignment horizontal="right"/>
    </xf>
    <xf numFmtId="1" fontId="16" fillId="0" borderId="16" xfId="2" applyNumberFormat="1" applyFont="1" applyBorder="1"/>
    <xf numFmtId="0" fontId="6" fillId="6" borderId="0" xfId="2" applyFont="1" applyFill="1"/>
    <xf numFmtId="0" fontId="23" fillId="0" borderId="0" xfId="2" applyFont="1"/>
    <xf numFmtId="0" fontId="6" fillId="5" borderId="12" xfId="2" applyFont="1" applyFill="1" applyBorder="1" applyAlignment="1">
      <alignment horizontal="right"/>
    </xf>
    <xf numFmtId="1" fontId="6" fillId="0" borderId="0" xfId="2" applyNumberFormat="1" applyFont="1" applyAlignment="1">
      <alignment horizontal="right"/>
    </xf>
    <xf numFmtId="0" fontId="6" fillId="5" borderId="12" xfId="2" applyFont="1" applyFill="1" applyBorder="1"/>
    <xf numFmtId="0" fontId="6" fillId="5" borderId="0" xfId="2" applyFont="1" applyFill="1"/>
    <xf numFmtId="0" fontId="6" fillId="5" borderId="17" xfId="2" applyFont="1" applyFill="1" applyBorder="1"/>
    <xf numFmtId="0" fontId="24" fillId="0" borderId="0" xfId="2" applyFont="1" applyAlignment="1">
      <alignment horizontal="center"/>
    </xf>
    <xf numFmtId="1" fontId="6" fillId="5" borderId="12" xfId="2" applyNumberFormat="1" applyFont="1" applyFill="1" applyBorder="1"/>
    <xf numFmtId="1" fontId="16" fillId="0" borderId="18" xfId="2" applyNumberFormat="1" applyFont="1" applyBorder="1"/>
    <xf numFmtId="1" fontId="16" fillId="0" borderId="19" xfId="2" applyNumberFormat="1" applyFont="1" applyBorder="1"/>
    <xf numFmtId="1" fontId="21" fillId="0" borderId="11" xfId="2" applyNumberFormat="1" applyFont="1" applyBorder="1"/>
    <xf numFmtId="0" fontId="25" fillId="0" borderId="0" xfId="2" applyFont="1"/>
    <xf numFmtId="0" fontId="26" fillId="0" borderId="0" xfId="2" applyFont="1"/>
    <xf numFmtId="0" fontId="27" fillId="0" borderId="0" xfId="2" applyFont="1"/>
    <xf numFmtId="0" fontId="7" fillId="0" borderId="0" xfId="2" applyFont="1" applyAlignment="1">
      <alignment horizontal="center"/>
    </xf>
    <xf numFmtId="0" fontId="16" fillId="0" borderId="0" xfId="2" applyFont="1"/>
    <xf numFmtId="0" fontId="28" fillId="0" borderId="0" xfId="2" applyFont="1" applyAlignment="1">
      <alignment horizontal="left" indent="1"/>
    </xf>
    <xf numFmtId="0" fontId="26" fillId="0" borderId="0" xfId="2" applyFont="1" applyAlignment="1">
      <alignment horizontal="left" indent="1"/>
    </xf>
    <xf numFmtId="0" fontId="16" fillId="0" borderId="0" xfId="2" applyFont="1" applyAlignment="1">
      <alignment vertical="center"/>
    </xf>
    <xf numFmtId="1" fontId="24" fillId="0" borderId="0" xfId="2" applyNumberFormat="1" applyFont="1" applyAlignment="1">
      <alignment horizontal="left"/>
    </xf>
    <xf numFmtId="0" fontId="24" fillId="0" borderId="0" xfId="2" applyFont="1" applyAlignment="1">
      <alignment horizontal="left"/>
    </xf>
    <xf numFmtId="0" fontId="10" fillId="0" borderId="0" xfId="2" applyFont="1" applyAlignment="1">
      <alignment horizontal="right"/>
    </xf>
    <xf numFmtId="1" fontId="16" fillId="4" borderId="20" xfId="2" applyNumberFormat="1" applyFont="1" applyFill="1" applyBorder="1"/>
    <xf numFmtId="1" fontId="16" fillId="4" borderId="21" xfId="2" applyNumberFormat="1" applyFont="1" applyFill="1" applyBorder="1"/>
    <xf numFmtId="0" fontId="6" fillId="0" borderId="0" xfId="2" applyFont="1" applyAlignment="1">
      <alignment horizontal="left" indent="1"/>
    </xf>
    <xf numFmtId="9" fontId="6" fillId="0" borderId="0" xfId="2" applyNumberFormat="1" applyFont="1" applyAlignment="1">
      <alignment horizontal="center"/>
    </xf>
    <xf numFmtId="0" fontId="9" fillId="0" borderId="0" xfId="2" applyFont="1" applyAlignment="1">
      <alignment horizontal="right"/>
    </xf>
    <xf numFmtId="0" fontId="4" fillId="0" borderId="16" xfId="2" applyFont="1" applyBorder="1"/>
    <xf numFmtId="0" fontId="4" fillId="0" borderId="11" xfId="2" applyFont="1" applyBorder="1"/>
    <xf numFmtId="0" fontId="10" fillId="0" borderId="0" xfId="2" applyFont="1" applyAlignment="1">
      <alignment shrinkToFit="1"/>
    </xf>
    <xf numFmtId="0" fontId="30" fillId="0" borderId="0" xfId="2" applyFont="1" applyAlignment="1">
      <alignment horizontal="right"/>
    </xf>
    <xf numFmtId="0" fontId="6" fillId="0" borderId="12" xfId="2" applyFont="1" applyBorder="1" applyAlignment="1">
      <alignment horizontal="right"/>
    </xf>
    <xf numFmtId="0" fontId="1" fillId="0" borderId="16" xfId="2" applyBorder="1" applyAlignment="1">
      <alignment horizontal="right"/>
    </xf>
    <xf numFmtId="1" fontId="6" fillId="0" borderId="11" xfId="2" applyNumberFormat="1" applyFont="1" applyBorder="1" applyAlignment="1">
      <alignment horizontal="right"/>
    </xf>
    <xf numFmtId="0" fontId="21" fillId="7" borderId="15" xfId="2" applyFont="1" applyFill="1" applyBorder="1"/>
    <xf numFmtId="9" fontId="11" fillId="0" borderId="0" xfId="2" applyNumberFormat="1" applyFont="1" applyAlignment="1">
      <alignment horizontal="center"/>
    </xf>
    <xf numFmtId="1" fontId="6" fillId="0" borderId="22" xfId="2" applyNumberFormat="1" applyFont="1" applyBorder="1" applyAlignment="1">
      <alignment horizontal="right"/>
    </xf>
    <xf numFmtId="1" fontId="6" fillId="0" borderId="18" xfId="2" applyNumberFormat="1" applyFont="1" applyBorder="1" applyAlignment="1">
      <alignment horizontal="right"/>
    </xf>
    <xf numFmtId="0" fontId="6" fillId="0" borderId="0" xfId="2" applyFont="1" applyAlignment="1">
      <alignment horizontal="right"/>
    </xf>
    <xf numFmtId="1" fontId="6" fillId="0" borderId="16" xfId="2" applyNumberFormat="1" applyFont="1" applyBorder="1" applyAlignment="1">
      <alignment horizontal="right"/>
    </xf>
    <xf numFmtId="0" fontId="6" fillId="6" borderId="0" xfId="2" applyFont="1" applyFill="1" applyAlignment="1">
      <alignment horizontal="left"/>
    </xf>
    <xf numFmtId="0" fontId="4" fillId="6" borderId="0" xfId="2" applyFont="1" applyFill="1" applyAlignment="1">
      <alignment horizontal="center"/>
    </xf>
    <xf numFmtId="0" fontId="4" fillId="6" borderId="0" xfId="2" applyFont="1" applyFill="1" applyAlignment="1">
      <alignment horizontal="left" indent="1"/>
    </xf>
    <xf numFmtId="1" fontId="6" fillId="6" borderId="0" xfId="2" applyNumberFormat="1" applyFont="1" applyFill="1"/>
    <xf numFmtId="1" fontId="4" fillId="6" borderId="0" xfId="2" applyNumberFormat="1" applyFont="1" applyFill="1"/>
    <xf numFmtId="1" fontId="16" fillId="0" borderId="16" xfId="2" applyNumberFormat="1" applyFont="1" applyBorder="1" applyAlignment="1">
      <alignment horizontal="right"/>
    </xf>
    <xf numFmtId="1" fontId="16" fillId="0" borderId="11" xfId="2" applyNumberFormat="1" applyFont="1" applyBorder="1" applyAlignment="1">
      <alignment horizontal="right"/>
    </xf>
    <xf numFmtId="0" fontId="31" fillId="0" borderId="0" xfId="2" applyFont="1" applyAlignment="1">
      <alignment horizontal="left"/>
    </xf>
    <xf numFmtId="0" fontId="32" fillId="0" borderId="0" xfId="2" applyFont="1" applyAlignment="1">
      <alignment horizontal="right"/>
    </xf>
    <xf numFmtId="1" fontId="11" fillId="0" borderId="22" xfId="2" applyNumberFormat="1" applyFont="1" applyBorder="1"/>
    <xf numFmtId="1" fontId="6" fillId="0" borderId="18" xfId="2" applyNumberFormat="1" applyFont="1" applyBorder="1"/>
    <xf numFmtId="1" fontId="6" fillId="6" borderId="15" xfId="2" applyNumberFormat="1" applyFont="1" applyFill="1" applyBorder="1"/>
    <xf numFmtId="1" fontId="4" fillId="6" borderId="0" xfId="2" applyNumberFormat="1" applyFont="1" applyFill="1" applyAlignment="1">
      <alignment horizontal="left" indent="1"/>
    </xf>
    <xf numFmtId="15" fontId="7" fillId="0" borderId="0" xfId="2" applyNumberFormat="1" applyFont="1" applyAlignment="1">
      <alignment horizontal="center"/>
    </xf>
    <xf numFmtId="0" fontId="33" fillId="0" borderId="0" xfId="2" applyFont="1" applyAlignment="1">
      <alignment horizontal="left" shrinkToFit="1"/>
    </xf>
    <xf numFmtId="0" fontId="33" fillId="0" borderId="0" xfId="2" applyFont="1" applyAlignment="1">
      <alignment horizontal="left" shrinkToFit="1"/>
    </xf>
    <xf numFmtId="1" fontId="6" fillId="5" borderId="0" xfId="2" applyNumberFormat="1" applyFont="1" applyFill="1"/>
    <xf numFmtId="0" fontId="6" fillId="0" borderId="0" xfId="2" applyFont="1" applyAlignment="1">
      <alignment horizontal="left" indent="2"/>
    </xf>
    <xf numFmtId="1" fontId="34" fillId="0" borderId="0" xfId="2" applyNumberFormat="1" applyFont="1" applyAlignment="1">
      <alignment horizontal="center"/>
    </xf>
    <xf numFmtId="0" fontId="4" fillId="0" borderId="0" xfId="2" applyFont="1" applyAlignment="1">
      <alignment horizontal="left" indent="2"/>
    </xf>
    <xf numFmtId="0" fontId="6" fillId="0" borderId="17" xfId="2" applyFont="1" applyBorder="1"/>
    <xf numFmtId="1" fontId="35" fillId="0" borderId="0" xfId="2" applyNumberFormat="1" applyFont="1"/>
    <xf numFmtId="0" fontId="4" fillId="0" borderId="0" xfId="2" applyFont="1" applyAlignment="1">
      <alignment horizontal="left" indent="11"/>
    </xf>
    <xf numFmtId="0" fontId="11" fillId="0" borderId="0" xfId="2" applyFont="1"/>
    <xf numFmtId="1" fontId="10" fillId="0" borderId="23" xfId="2" applyNumberFormat="1" applyFont="1" applyBorder="1" applyAlignment="1">
      <alignment shrinkToFit="1"/>
    </xf>
    <xf numFmtId="0" fontId="16" fillId="0" borderId="24" xfId="2" applyFont="1" applyBorder="1"/>
    <xf numFmtId="0" fontId="6" fillId="0" borderId="24" xfId="2" applyFont="1" applyBorder="1"/>
    <xf numFmtId="0" fontId="36" fillId="0" borderId="24" xfId="2" applyFont="1" applyBorder="1"/>
    <xf numFmtId="0" fontId="24" fillId="0" borderId="24" xfId="2" applyFont="1" applyBorder="1" applyAlignment="1">
      <alignment horizontal="left"/>
    </xf>
    <xf numFmtId="0" fontId="6" fillId="0" borderId="24" xfId="2" applyFont="1" applyBorder="1" applyAlignment="1">
      <alignment horizontal="center"/>
    </xf>
    <xf numFmtId="1" fontId="5" fillId="4" borderId="25" xfId="2" applyNumberFormat="1" applyFont="1" applyFill="1" applyBorder="1"/>
    <xf numFmtId="1" fontId="16" fillId="4" borderId="26" xfId="2" applyNumberFormat="1" applyFont="1" applyFill="1" applyBorder="1"/>
    <xf numFmtId="0" fontId="37" fillId="0" borderId="1" xfId="2" applyFont="1" applyBorder="1" applyAlignment="1">
      <alignment horizontal="center"/>
    </xf>
    <xf numFmtId="0" fontId="37" fillId="0" borderId="2" xfId="2" applyFont="1" applyBorder="1" applyAlignment="1">
      <alignment horizontal="center"/>
    </xf>
    <xf numFmtId="0" fontId="37" fillId="0" borderId="3" xfId="2" applyFont="1" applyBorder="1" applyAlignment="1">
      <alignment horizontal="center"/>
    </xf>
    <xf numFmtId="0" fontId="21" fillId="0" borderId="15" xfId="2" applyFont="1" applyBorder="1"/>
    <xf numFmtId="14" fontId="38" fillId="0" borderId="5" xfId="2" applyNumberFormat="1" applyFont="1" applyBorder="1" applyAlignment="1">
      <alignment horizontal="center" shrinkToFit="1"/>
    </xf>
    <xf numFmtId="0" fontId="38" fillId="0" borderId="6" xfId="2" applyFont="1" applyBorder="1" applyAlignment="1">
      <alignment horizontal="center" shrinkToFit="1"/>
    </xf>
    <xf numFmtId="0" fontId="39" fillId="0" borderId="6" xfId="2" applyFont="1" applyBorder="1"/>
    <xf numFmtId="0" fontId="40" fillId="0" borderId="6" xfId="2" applyFont="1" applyBorder="1" applyAlignment="1">
      <alignment horizontal="center"/>
    </xf>
    <xf numFmtId="0" fontId="41" fillId="0" borderId="6" xfId="2" applyFont="1" applyBorder="1" applyAlignment="1">
      <alignment horizontal="center"/>
    </xf>
    <xf numFmtId="0" fontId="42" fillId="0" borderId="6" xfId="2" applyFont="1" applyBorder="1" applyAlignment="1">
      <alignment horizontal="center"/>
    </xf>
    <xf numFmtId="0" fontId="42" fillId="0" borderId="7" xfId="2" applyFont="1" applyBorder="1" applyAlignment="1">
      <alignment horizontal="center"/>
    </xf>
    <xf numFmtId="0" fontId="12" fillId="0" borderId="0" xfId="2" applyFont="1"/>
    <xf numFmtId="0" fontId="12" fillId="0" borderId="0" xfId="2" applyFont="1" applyAlignment="1">
      <alignment horizontal="center"/>
    </xf>
    <xf numFmtId="0" fontId="43" fillId="0" borderId="0" xfId="2" applyFont="1"/>
    <xf numFmtId="0" fontId="44" fillId="0" borderId="0" xfId="2" applyFont="1" applyAlignment="1">
      <alignment shrinkToFit="1"/>
    </xf>
    <xf numFmtId="0" fontId="1" fillId="0" borderId="0" xfId="2"/>
    <xf numFmtId="0" fontId="44" fillId="0" borderId="0" xfId="2" applyFont="1"/>
    <xf numFmtId="0" fontId="45" fillId="0" borderId="0" xfId="2" applyFont="1" applyAlignment="1">
      <alignment horizontal="left"/>
    </xf>
    <xf numFmtId="0" fontId="12" fillId="0" borderId="0" xfId="2" applyFont="1" applyAlignment="1">
      <alignment horizontal="left" indent="1"/>
    </xf>
    <xf numFmtId="0" fontId="11" fillId="0" borderId="0" xfId="2" applyFont="1" applyAlignment="1">
      <alignment horizontal="center"/>
    </xf>
    <xf numFmtId="0" fontId="43" fillId="0" borderId="0" xfId="2" applyFont="1" applyAlignment="1">
      <alignment horizontal="center"/>
    </xf>
    <xf numFmtId="0" fontId="46" fillId="8" borderId="1" xfId="2" applyFont="1" applyFill="1" applyBorder="1" applyAlignment="1">
      <alignment horizontal="center"/>
    </xf>
    <xf numFmtId="0" fontId="46" fillId="8" borderId="3" xfId="2" applyFont="1" applyFill="1" applyBorder="1" applyAlignment="1">
      <alignment horizontal="center"/>
    </xf>
    <xf numFmtId="0" fontId="7" fillId="0" borderId="0" xfId="2" applyFont="1"/>
    <xf numFmtId="0" fontId="7" fillId="0" borderId="0" xfId="2" applyFont="1" applyAlignment="1">
      <alignment horizontal="left" indent="1"/>
    </xf>
    <xf numFmtId="0" fontId="1" fillId="0" borderId="0" xfId="2" applyAlignment="1">
      <alignment horizontal="left"/>
    </xf>
    <xf numFmtId="1" fontId="1" fillId="0" borderId="0" xfId="2" applyNumberFormat="1"/>
    <xf numFmtId="0" fontId="1" fillId="8" borderId="9" xfId="2" applyFill="1" applyBorder="1" applyAlignment="1">
      <alignment horizontal="left" indent="1"/>
    </xf>
    <xf numFmtId="0" fontId="1" fillId="8" borderId="11" xfId="2" applyFill="1" applyBorder="1" applyAlignment="1">
      <alignment horizontal="center"/>
    </xf>
    <xf numFmtId="0" fontId="39" fillId="0" borderId="0" xfId="2" applyFont="1"/>
    <xf numFmtId="0" fontId="39" fillId="0" borderId="0" xfId="2" applyFont="1" applyAlignment="1">
      <alignment horizontal="left" indent="1"/>
    </xf>
    <xf numFmtId="0" fontId="6" fillId="0" borderId="0" xfId="2" applyFont="1" applyAlignment="1">
      <alignment horizontal="left"/>
    </xf>
    <xf numFmtId="9" fontId="1" fillId="8" borderId="11" xfId="1" applyFont="1" applyFill="1" applyBorder="1" applyAlignment="1">
      <alignment horizontal="center"/>
    </xf>
    <xf numFmtId="0" fontId="47" fillId="0" borderId="0" xfId="2" applyFont="1"/>
    <xf numFmtId="1" fontId="6" fillId="0" borderId="17" xfId="2" applyNumberFormat="1" applyFont="1" applyBorder="1"/>
    <xf numFmtId="0" fontId="47" fillId="0" borderId="0" xfId="2" applyFont="1" applyAlignment="1">
      <alignment horizontal="left" indent="1"/>
    </xf>
    <xf numFmtId="1" fontId="21" fillId="0" borderId="15" xfId="2" applyNumberFormat="1" applyFont="1" applyBorder="1" applyAlignment="1">
      <alignment horizontal="center"/>
    </xf>
    <xf numFmtId="0" fontId="6" fillId="0" borderId="15" xfId="2" applyFont="1" applyBorder="1"/>
    <xf numFmtId="0" fontId="10" fillId="0" borderId="15" xfId="2" applyFont="1" applyBorder="1" applyAlignment="1">
      <alignment horizontal="right"/>
    </xf>
    <xf numFmtId="1" fontId="6" fillId="0" borderId="15" xfId="2" applyNumberFormat="1" applyFont="1" applyBorder="1"/>
    <xf numFmtId="0" fontId="48" fillId="9" borderId="1" xfId="2" applyFont="1" applyFill="1" applyBorder="1" applyAlignment="1">
      <alignment horizontal="center"/>
    </xf>
    <xf numFmtId="0" fontId="48" fillId="9" borderId="3" xfId="2" applyFont="1" applyFill="1" applyBorder="1" applyAlignment="1">
      <alignment horizontal="center"/>
    </xf>
    <xf numFmtId="0" fontId="1" fillId="9" borderId="9" xfId="2" applyFill="1" applyBorder="1" applyAlignment="1">
      <alignment horizontal="left" indent="1"/>
    </xf>
    <xf numFmtId="0" fontId="1" fillId="9" borderId="11" xfId="2" applyFill="1" applyBorder="1" applyAlignment="1">
      <alignment horizontal="center"/>
    </xf>
    <xf numFmtId="9" fontId="1" fillId="9" borderId="11" xfId="1" applyFont="1" applyFill="1" applyBorder="1" applyAlignment="1">
      <alignment horizontal="center"/>
    </xf>
    <xf numFmtId="0" fontId="10" fillId="0" borderId="15" xfId="2" applyFont="1" applyBorder="1" applyAlignment="1">
      <alignment horizontal="left"/>
    </xf>
    <xf numFmtId="0" fontId="5" fillId="4" borderId="15" xfId="2" applyFont="1" applyFill="1" applyBorder="1"/>
    <xf numFmtId="0" fontId="49" fillId="10" borderId="0" xfId="2" applyFont="1" applyFill="1"/>
    <xf numFmtId="0" fontId="46" fillId="10" borderId="0" xfId="2" applyFont="1" applyFill="1"/>
    <xf numFmtId="0" fontId="50" fillId="10" borderId="0" xfId="2" applyFont="1" applyFill="1"/>
    <xf numFmtId="1" fontId="49" fillId="10" borderId="0" xfId="2" applyNumberFormat="1" applyFont="1" applyFill="1"/>
    <xf numFmtId="2" fontId="49" fillId="0" borderId="0" xfId="2" applyNumberFormat="1" applyFont="1"/>
    <xf numFmtId="0" fontId="51" fillId="0" borderId="0" xfId="2" applyFont="1"/>
    <xf numFmtId="2" fontId="52" fillId="0" borderId="0" xfId="2" applyNumberFormat="1" applyFont="1"/>
    <xf numFmtId="0" fontId="53" fillId="11" borderId="1" xfId="2" applyFont="1" applyFill="1" applyBorder="1" applyAlignment="1">
      <alignment horizontal="center"/>
    </xf>
    <xf numFmtId="0" fontId="53" fillId="11" borderId="3" xfId="2" applyFont="1" applyFill="1" applyBorder="1" applyAlignment="1">
      <alignment horizontal="center"/>
    </xf>
    <xf numFmtId="0" fontId="1" fillId="0" borderId="0" xfId="2" applyAlignment="1">
      <alignment horizontal="center"/>
    </xf>
    <xf numFmtId="0" fontId="1" fillId="0" borderId="0" xfId="2" applyAlignment="1">
      <alignment horizontal="left"/>
    </xf>
    <xf numFmtId="0" fontId="1" fillId="11" borderId="9" xfId="2" applyFill="1" applyBorder="1" applyAlignment="1">
      <alignment horizontal="left" indent="1"/>
    </xf>
    <xf numFmtId="0" fontId="1" fillId="11" borderId="11" xfId="2" applyFill="1" applyBorder="1"/>
    <xf numFmtId="1" fontId="1" fillId="0" borderId="0" xfId="2" applyNumberFormat="1" applyAlignment="1">
      <alignment horizontal="left"/>
    </xf>
    <xf numFmtId="0" fontId="1" fillId="11" borderId="9" xfId="2" applyFill="1" applyBorder="1" applyAlignment="1">
      <alignment horizontal="center"/>
    </xf>
    <xf numFmtId="0" fontId="1" fillId="11" borderId="11" xfId="2" applyFill="1" applyBorder="1" applyAlignment="1">
      <alignment horizontal="center"/>
    </xf>
    <xf numFmtId="1" fontId="1" fillId="0" borderId="0" xfId="2" applyNumberFormat="1" applyAlignment="1">
      <alignment horizontal="center"/>
    </xf>
    <xf numFmtId="1" fontId="1" fillId="0" borderId="15" xfId="2" applyNumberFormat="1" applyBorder="1"/>
    <xf numFmtId="1" fontId="11" fillId="0" borderId="0" xfId="2" applyNumberFormat="1" applyFont="1"/>
    <xf numFmtId="0" fontId="54" fillId="0" borderId="0" xfId="2" applyFont="1" applyAlignment="1">
      <alignment horizontal="right"/>
    </xf>
    <xf numFmtId="0" fontId="1" fillId="11" borderId="5" xfId="2" applyFill="1" applyBorder="1" applyAlignment="1">
      <alignment horizontal="left" indent="1"/>
    </xf>
    <xf numFmtId="0" fontId="1" fillId="11" borderId="7" xfId="2" applyFill="1" applyBorder="1"/>
    <xf numFmtId="0" fontId="1" fillId="0" borderId="0" xfId="2" applyAlignment="1">
      <alignment horizontal="center" vertical="center"/>
    </xf>
    <xf numFmtId="1" fontId="44" fillId="0" borderId="0" xfId="2" applyNumberFormat="1" applyFont="1" applyAlignment="1">
      <alignment horizontal="center" vertical="center" wrapText="1"/>
    </xf>
    <xf numFmtId="1" fontId="1" fillId="0" borderId="0" xfId="2" applyNumberFormat="1" applyAlignment="1">
      <alignment horizontal="center" vertical="center"/>
    </xf>
    <xf numFmtId="2" fontId="55" fillId="0" borderId="0" xfId="2" applyNumberFormat="1" applyFont="1" applyAlignment="1">
      <alignment horizontal="center"/>
    </xf>
    <xf numFmtId="0" fontId="55" fillId="0" borderId="0" xfId="2" applyFont="1" applyAlignment="1">
      <alignment horizontal="center"/>
    </xf>
    <xf numFmtId="0" fontId="10" fillId="0" borderId="0" xfId="2" applyFont="1" applyAlignment="1">
      <alignment horizontal="center" shrinkToFit="1"/>
    </xf>
    <xf numFmtId="164" fontId="1" fillId="0" borderId="0" xfId="2" applyNumberFormat="1" applyAlignment="1">
      <alignment horizontal="center"/>
    </xf>
    <xf numFmtId="1" fontId="1" fillId="12" borderId="0" xfId="2" applyNumberFormat="1" applyFill="1"/>
    <xf numFmtId="0" fontId="55" fillId="0" borderId="0" xfId="2" applyFont="1"/>
    <xf numFmtId="1" fontId="55" fillId="0" borderId="0" xfId="2" applyNumberFormat="1" applyFont="1" applyAlignment="1">
      <alignment horizontal="center"/>
    </xf>
    <xf numFmtId="164" fontId="56" fillId="12" borderId="0" xfId="2" applyNumberFormat="1" applyFont="1" applyFill="1" applyAlignment="1">
      <alignment horizontal="center"/>
    </xf>
    <xf numFmtId="2" fontId="1" fillId="0" borderId="0" xfId="2" applyNumberFormat="1"/>
    <xf numFmtId="1" fontId="46" fillId="0" borderId="15" xfId="2" applyNumberFormat="1" applyFont="1" applyBorder="1"/>
    <xf numFmtId="1" fontId="46" fillId="4" borderId="15" xfId="2" applyNumberFormat="1" applyFont="1" applyFill="1" applyBorder="1" applyAlignment="1">
      <alignment horizontal="center"/>
    </xf>
    <xf numFmtId="0" fontId="10" fillId="0" borderId="6" xfId="2" applyFont="1" applyBorder="1" applyAlignment="1">
      <alignment shrinkToFit="1"/>
    </xf>
    <xf numFmtId="0" fontId="1" fillId="0" borderId="6" xfId="2" applyBorder="1"/>
    <xf numFmtId="1" fontId="46" fillId="0" borderId="6" xfId="2" applyNumberFormat="1" applyFont="1" applyBorder="1"/>
    <xf numFmtId="2" fontId="46" fillId="0" borderId="0" xfId="2" applyNumberFormat="1" applyFont="1"/>
    <xf numFmtId="17" fontId="1" fillId="0" borderId="0" xfId="2" applyNumberFormat="1" applyAlignment="1">
      <alignment horizontal="center"/>
    </xf>
    <xf numFmtId="0" fontId="23" fillId="0" borderId="0" xfId="2" applyFont="1" applyAlignment="1">
      <alignment horizontal="left" indent="1"/>
    </xf>
    <xf numFmtId="9" fontId="7" fillId="0" borderId="0" xfId="2" applyNumberFormat="1" applyFont="1" applyAlignment="1">
      <alignment horizontal="center"/>
    </xf>
    <xf numFmtId="0" fontId="57" fillId="0" borderId="0" xfId="2" applyFont="1" applyAlignment="1">
      <alignment horizontal="left"/>
    </xf>
    <xf numFmtId="2" fontId="11" fillId="0" borderId="0" xfId="2" applyNumberFormat="1" applyFont="1" applyAlignment="1">
      <alignment horizontal="center"/>
    </xf>
    <xf numFmtId="1" fontId="11" fillId="0" borderId="0" xfId="2" applyNumberFormat="1" applyFont="1" applyAlignment="1">
      <alignment horizontal="center"/>
    </xf>
    <xf numFmtId="2" fontId="1" fillId="0" borderId="0" xfId="2" applyNumberFormat="1" applyAlignment="1">
      <alignment horizontal="center"/>
    </xf>
    <xf numFmtId="1" fontId="57" fillId="0" borderId="0" xfId="2" applyNumberFormat="1" applyFont="1" applyAlignment="1">
      <alignment horizontal="left"/>
    </xf>
    <xf numFmtId="2" fontId="46" fillId="0" borderId="0" xfId="2" applyNumberFormat="1" applyFont="1" applyAlignment="1">
      <alignment horizontal="center"/>
    </xf>
    <xf numFmtId="1" fontId="1" fillId="0" borderId="0" xfId="2" applyNumberFormat="1" applyAlignment="1">
      <alignment horizontal="right"/>
    </xf>
    <xf numFmtId="0" fontId="6" fillId="0" borderId="6" xfId="2" applyFont="1" applyBorder="1"/>
    <xf numFmtId="0" fontId="23" fillId="0" borderId="6" xfId="2" applyFont="1" applyBorder="1"/>
    <xf numFmtId="1" fontId="1" fillId="0" borderId="6" xfId="2" applyNumberFormat="1" applyBorder="1" applyAlignment="1">
      <alignment horizontal="right"/>
    </xf>
    <xf numFmtId="1" fontId="1" fillId="0" borderId="6" xfId="2" applyNumberFormat="1" applyBorder="1"/>
    <xf numFmtId="2" fontId="46" fillId="0" borderId="6" xfId="2" applyNumberFormat="1" applyFont="1" applyBorder="1" applyAlignment="1">
      <alignment horizontal="center"/>
    </xf>
    <xf numFmtId="14" fontId="1" fillId="0" borderId="0" xfId="2" applyNumberFormat="1" applyAlignment="1">
      <alignment horizontal="center"/>
    </xf>
    <xf numFmtId="2" fontId="58" fillId="0" borderId="0" xfId="2" applyNumberFormat="1" applyFont="1" applyAlignment="1">
      <alignment horizontal="center"/>
    </xf>
    <xf numFmtId="0" fontId="58" fillId="0" borderId="0" xfId="2" applyFont="1" applyAlignment="1">
      <alignment horizontal="center"/>
    </xf>
    <xf numFmtId="0" fontId="58" fillId="0" borderId="0" xfId="2" applyFont="1"/>
    <xf numFmtId="1" fontId="58" fillId="0" borderId="0" xfId="2" applyNumberFormat="1" applyFont="1" applyAlignment="1">
      <alignment horizontal="center"/>
    </xf>
    <xf numFmtId="17" fontId="1" fillId="0" borderId="0" xfId="2" applyNumberFormat="1"/>
    <xf numFmtId="0" fontId="59" fillId="0" borderId="1" xfId="2" applyFont="1" applyBorder="1"/>
    <xf numFmtId="0" fontId="4" fillId="0" borderId="2" xfId="2" applyFont="1" applyBorder="1"/>
    <xf numFmtId="0" fontId="60" fillId="0" borderId="2" xfId="2" applyFont="1" applyBorder="1" applyAlignment="1">
      <alignment horizontal="center"/>
    </xf>
    <xf numFmtId="0" fontId="60" fillId="0" borderId="3" xfId="2" applyFont="1" applyBorder="1" applyAlignment="1">
      <alignment horizontal="center"/>
    </xf>
    <xf numFmtId="0" fontId="61" fillId="0" borderId="0" xfId="2" applyFont="1"/>
    <xf numFmtId="0" fontId="11" fillId="0" borderId="9" xfId="2" applyFont="1" applyBorder="1"/>
    <xf numFmtId="0" fontId="21" fillId="0" borderId="0" xfId="2" applyFont="1"/>
    <xf numFmtId="0" fontId="62" fillId="0" borderId="9" xfId="2" applyFont="1" applyBorder="1" applyAlignment="1">
      <alignment horizontal="center" vertical="center"/>
    </xf>
    <xf numFmtId="0" fontId="64" fillId="0" borderId="0" xfId="2" applyFont="1" applyAlignment="1">
      <alignment horizontal="left" vertical="top" wrapText="1"/>
    </xf>
    <xf numFmtId="0" fontId="64" fillId="0" borderId="11" xfId="2" applyFont="1" applyBorder="1" applyAlignment="1">
      <alignment horizontal="left" vertical="top" wrapText="1"/>
    </xf>
    <xf numFmtId="0" fontId="17" fillId="0" borderId="0" xfId="2" applyFont="1" applyAlignment="1">
      <alignment horizontal="left" vertical="center"/>
    </xf>
    <xf numFmtId="0" fontId="4" fillId="0" borderId="9" xfId="2" applyFont="1" applyBorder="1" applyAlignment="1">
      <alignment shrinkToFit="1"/>
    </xf>
    <xf numFmtId="0" fontId="65" fillId="0" borderId="0" xfId="2" applyFont="1" applyAlignment="1">
      <alignment horizontal="left" vertical="top" wrapText="1"/>
    </xf>
    <xf numFmtId="0" fontId="65" fillId="0" borderId="11" xfId="2" applyFont="1" applyBorder="1" applyAlignment="1">
      <alignment horizontal="left" vertical="top" wrapText="1"/>
    </xf>
    <xf numFmtId="0" fontId="4" fillId="0" borderId="5" xfId="2" applyFont="1" applyBorder="1" applyAlignment="1">
      <alignment shrinkToFit="1"/>
    </xf>
    <xf numFmtId="0" fontId="64" fillId="0" borderId="6" xfId="2" applyFont="1" applyBorder="1" applyAlignment="1">
      <alignment horizontal="left" vertical="top" wrapText="1"/>
    </xf>
    <xf numFmtId="0" fontId="4" fillId="0" borderId="7" xfId="2" applyFont="1" applyBorder="1"/>
    <xf numFmtId="0" fontId="4" fillId="0" borderId="0" xfId="2" applyFont="1" applyAlignment="1">
      <alignment shrinkToFit="1"/>
    </xf>
    <xf numFmtId="0" fontId="64" fillId="0" borderId="0" xfId="2" applyFont="1" applyAlignment="1">
      <alignment horizontal="left" vertical="top" wrapText="1"/>
    </xf>
    <xf numFmtId="0" fontId="64" fillId="0" borderId="2" xfId="2" applyFont="1" applyBorder="1" applyAlignment="1">
      <alignment horizontal="left" vertical="top" wrapText="1"/>
    </xf>
    <xf numFmtId="0" fontId="67" fillId="0" borderId="2" xfId="2" applyFont="1" applyBorder="1" applyAlignment="1">
      <alignment horizontal="center"/>
    </xf>
    <xf numFmtId="0" fontId="67" fillId="0" borderId="3" xfId="2" applyFont="1" applyBorder="1" applyAlignment="1">
      <alignment horizontal="center"/>
    </xf>
    <xf numFmtId="0" fontId="68" fillId="0" borderId="0" xfId="2" applyFont="1"/>
    <xf numFmtId="0" fontId="6" fillId="0" borderId="11" xfId="2" applyFont="1" applyBorder="1"/>
    <xf numFmtId="0" fontId="10" fillId="0" borderId="5" xfId="2" applyFont="1" applyBorder="1" applyAlignment="1">
      <alignment shrinkToFit="1"/>
    </xf>
    <xf numFmtId="0" fontId="4" fillId="0" borderId="6" xfId="2" applyFont="1" applyBorder="1"/>
    <xf numFmtId="0" fontId="6" fillId="0" borderId="7" xfId="2" applyFont="1" applyBorder="1"/>
    <xf numFmtId="0" fontId="60" fillId="0" borderId="1" xfId="2" applyFont="1" applyBorder="1"/>
    <xf numFmtId="0" fontId="23" fillId="0" borderId="2" xfId="2" applyFont="1" applyBorder="1" applyAlignment="1">
      <alignment horizontal="center"/>
    </xf>
    <xf numFmtId="0" fontId="1" fillId="0" borderId="2" xfId="2" applyBorder="1" applyAlignment="1">
      <alignment horizontal="center"/>
    </xf>
    <xf numFmtId="0" fontId="50" fillId="0" borderId="2" xfId="2" applyFont="1" applyBorder="1"/>
    <xf numFmtId="0" fontId="6" fillId="0" borderId="2" xfId="2" applyFont="1" applyBorder="1"/>
    <xf numFmtId="0" fontId="6" fillId="0" borderId="3" xfId="2" applyFont="1" applyBorder="1"/>
    <xf numFmtId="0" fontId="6" fillId="0" borderId="9" xfId="2" applyFont="1" applyBorder="1" applyAlignment="1">
      <alignment horizontal="left" indent="1"/>
    </xf>
    <xf numFmtId="0" fontId="1" fillId="0" borderId="0" xfId="2" applyAlignment="1">
      <alignment horizontal="right"/>
    </xf>
    <xf numFmtId="0" fontId="60" fillId="0" borderId="9" xfId="2" applyFont="1" applyBorder="1"/>
    <xf numFmtId="0" fontId="9" fillId="0" borderId="0" xfId="2" applyFont="1" applyAlignment="1">
      <alignment horizontal="left"/>
    </xf>
    <xf numFmtId="0" fontId="1" fillId="0" borderId="0" xfId="2" applyAlignment="1">
      <alignment horizontal="left" indent="1"/>
    </xf>
    <xf numFmtId="0" fontId="60" fillId="0" borderId="5" xfId="2" applyFont="1" applyBorder="1"/>
    <xf numFmtId="0" fontId="69" fillId="0" borderId="6" xfId="2" applyFont="1" applyBorder="1"/>
    <xf numFmtId="0" fontId="1" fillId="0" borderId="6" xfId="2" applyBorder="1" applyAlignment="1">
      <alignment horizontal="right"/>
    </xf>
  </cellXfs>
  <cellStyles count="3">
    <cellStyle name="Normal" xfId="0" builtinId="0"/>
    <cellStyle name="Normal 2 2" xfId="2" xr:uid="{C49A1832-16E8-4AAD-8C5C-8906A8DE3F67}"/>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ABB3F-5FB0-4A2A-B6E9-EA8E1478FF5C}">
  <sheetPr>
    <pageSetUpPr fitToPage="1"/>
  </sheetPr>
  <dimension ref="A1:N139"/>
  <sheetViews>
    <sheetView showZeros="0" tabSelected="1" topLeftCell="A67" zoomScale="120" workbookViewId="0">
      <selection activeCell="M62" sqref="M62"/>
    </sheetView>
  </sheetViews>
  <sheetFormatPr defaultColWidth="9.109375" defaultRowHeight="15" customHeight="1" x14ac:dyDescent="0.25"/>
  <cols>
    <col min="1" max="1" width="4.109375" style="82" customWidth="1"/>
    <col min="2" max="2" width="11.5546875" style="7" customWidth="1"/>
    <col min="3" max="3" width="10.6640625" style="7" customWidth="1"/>
    <col min="4" max="4" width="15.6640625" style="7" customWidth="1"/>
    <col min="5" max="5" width="15.88671875" style="7" customWidth="1"/>
    <col min="6" max="6" width="10.44140625" style="7" customWidth="1"/>
    <col min="7" max="7" width="11.5546875" style="7" customWidth="1"/>
    <col min="8" max="8" width="12.88671875" style="7" customWidth="1"/>
    <col min="9" max="9" width="3.44140625" style="7" customWidth="1"/>
    <col min="10" max="10" width="4.6640625" style="5" customWidth="1"/>
    <col min="11" max="11" width="26.5546875" style="7" customWidth="1"/>
    <col min="12" max="12" width="10" style="7" customWidth="1"/>
    <col min="13" max="13" width="10.109375" style="7" customWidth="1"/>
    <col min="14" max="14" width="10" style="7" customWidth="1"/>
    <col min="15" max="16384" width="9.109375" style="7"/>
  </cols>
  <sheetData>
    <row r="1" spans="1:14" s="10" customFormat="1" ht="14.25" customHeight="1" x14ac:dyDescent="0.25">
      <c r="A1" s="1" t="s">
        <v>0</v>
      </c>
      <c r="B1" s="2"/>
      <c r="C1" s="2"/>
      <c r="D1" s="3" t="s">
        <v>1</v>
      </c>
      <c r="E1" s="3"/>
      <c r="F1" s="3"/>
      <c r="G1" s="3"/>
      <c r="H1" s="3"/>
      <c r="I1" s="4"/>
      <c r="J1" s="5"/>
      <c r="K1" s="6" t="str">
        <f>+D2</f>
        <v xml:space="preserve">Case Study-1 </v>
      </c>
      <c r="L1" s="7"/>
      <c r="M1" s="8" t="s">
        <v>2</v>
      </c>
      <c r="N1" s="9" t="s">
        <v>3</v>
      </c>
    </row>
    <row r="2" spans="1:14" ht="15" customHeight="1" thickBot="1" x14ac:dyDescent="0.3">
      <c r="A2" s="11" t="s">
        <v>4</v>
      </c>
      <c r="B2" s="12"/>
      <c r="C2" s="12"/>
      <c r="D2" s="13" t="s">
        <v>5</v>
      </c>
      <c r="E2" s="14" t="s">
        <v>6</v>
      </c>
      <c r="F2" s="15" t="s">
        <v>7</v>
      </c>
      <c r="G2" s="15"/>
      <c r="H2" s="16">
        <v>26308</v>
      </c>
      <c r="I2" s="17">
        <f>IF(H2&lt;22008,"Sr",0)</f>
        <v>0</v>
      </c>
      <c r="K2" s="18" t="s">
        <v>8</v>
      </c>
      <c r="L2" s="7">
        <v>16800000</v>
      </c>
      <c r="N2" s="19">
        <v>44399</v>
      </c>
    </row>
    <row r="3" spans="1:14" ht="15" customHeight="1" x14ac:dyDescent="0.25">
      <c r="A3" s="20"/>
      <c r="B3" s="21" t="s">
        <v>9</v>
      </c>
      <c r="G3" s="22"/>
      <c r="H3" s="23" t="s">
        <v>10</v>
      </c>
      <c r="I3" s="24"/>
      <c r="J3" s="5" t="s">
        <v>11</v>
      </c>
      <c r="K3" s="7" t="s">
        <v>12</v>
      </c>
      <c r="L3" s="7">
        <v>34000</v>
      </c>
      <c r="M3" s="7">
        <v>8000</v>
      </c>
      <c r="N3" s="25" t="s">
        <v>13</v>
      </c>
    </row>
    <row r="4" spans="1:14" ht="15" customHeight="1" x14ac:dyDescent="0.25">
      <c r="A4" s="26"/>
      <c r="B4" s="27" t="s">
        <v>14</v>
      </c>
      <c r="C4" s="28" t="s">
        <v>15</v>
      </c>
      <c r="G4" s="29">
        <f>+L9</f>
        <v>16927600</v>
      </c>
      <c r="H4" s="30"/>
      <c r="I4" s="31"/>
      <c r="K4" s="7" t="s">
        <v>16</v>
      </c>
      <c r="L4" s="7">
        <v>36000</v>
      </c>
      <c r="N4" s="32">
        <v>44561</v>
      </c>
    </row>
    <row r="5" spans="1:14" ht="15" customHeight="1" x14ac:dyDescent="0.25">
      <c r="A5" s="26"/>
      <c r="B5" s="27" t="s">
        <v>17</v>
      </c>
      <c r="C5" s="28" t="s">
        <v>18</v>
      </c>
      <c r="G5" s="29">
        <f>+L10</f>
        <v>58000</v>
      </c>
      <c r="H5" s="30"/>
      <c r="I5" s="31"/>
      <c r="J5" s="5" t="s">
        <v>19</v>
      </c>
      <c r="K5" s="7" t="s">
        <v>20</v>
      </c>
      <c r="L5" s="7">
        <v>2400</v>
      </c>
      <c r="M5" s="7">
        <v>2400</v>
      </c>
      <c r="N5" s="33" t="s">
        <v>21</v>
      </c>
    </row>
    <row r="6" spans="1:14" ht="15" customHeight="1" thickBot="1" x14ac:dyDescent="0.3">
      <c r="A6" s="26"/>
      <c r="B6" s="27" t="s">
        <v>22</v>
      </c>
      <c r="C6" s="28" t="s">
        <v>23</v>
      </c>
      <c r="G6" s="34">
        <v>0</v>
      </c>
      <c r="H6" s="30"/>
      <c r="I6" s="31"/>
      <c r="K6" s="35" t="s">
        <v>24</v>
      </c>
      <c r="L6" s="7">
        <v>19200</v>
      </c>
      <c r="N6" s="36">
        <v>44429</v>
      </c>
    </row>
    <row r="7" spans="1:14" ht="15" customHeight="1" x14ac:dyDescent="0.25">
      <c r="A7" s="26"/>
      <c r="B7" s="21"/>
      <c r="C7" s="28"/>
      <c r="F7" s="37" t="s">
        <v>25</v>
      </c>
      <c r="G7" s="38">
        <f>G4+G5+G6</f>
        <v>16985600</v>
      </c>
      <c r="H7" s="30"/>
      <c r="I7" s="31"/>
      <c r="K7" s="35" t="s">
        <v>26</v>
      </c>
      <c r="L7" s="7">
        <v>18000</v>
      </c>
      <c r="N7" s="39" t="s">
        <v>27</v>
      </c>
    </row>
    <row r="8" spans="1:14" ht="15" customHeight="1" x14ac:dyDescent="0.25">
      <c r="A8" s="26"/>
      <c r="B8" s="40" t="s">
        <v>28</v>
      </c>
      <c r="C8" s="28" t="s">
        <v>29</v>
      </c>
      <c r="E8" s="41" t="s">
        <v>30</v>
      </c>
      <c r="G8" s="34">
        <f>M10+M3+M5</f>
        <v>62400</v>
      </c>
      <c r="H8" s="30"/>
      <c r="I8" s="31"/>
      <c r="K8" s="7" t="s">
        <v>31</v>
      </c>
      <c r="L8" s="7">
        <v>18000</v>
      </c>
      <c r="N8" s="42" t="s">
        <v>32</v>
      </c>
    </row>
    <row r="9" spans="1:14" ht="18.75" customHeight="1" thickBot="1" x14ac:dyDescent="0.3">
      <c r="A9" s="26"/>
      <c r="B9" s="21"/>
      <c r="F9" s="37" t="s">
        <v>33</v>
      </c>
      <c r="G9" s="43">
        <f>G7-G8</f>
        <v>16923200</v>
      </c>
      <c r="H9" s="30"/>
      <c r="I9" s="31"/>
      <c r="L9" s="44">
        <f>SUM(L2:L8)</f>
        <v>16927600</v>
      </c>
      <c r="M9" s="44">
        <f>SUM(M2:M8)</f>
        <v>10400</v>
      </c>
      <c r="N9" s="45">
        <v>5000</v>
      </c>
    </row>
    <row r="10" spans="1:14" ht="15" customHeight="1" thickTop="1" x14ac:dyDescent="0.25">
      <c r="A10" s="26"/>
      <c r="B10" s="27" t="s">
        <v>34</v>
      </c>
      <c r="C10" s="46" t="s">
        <v>35</v>
      </c>
      <c r="G10" s="34">
        <v>50000</v>
      </c>
      <c r="H10" s="30">
        <f>G9-G10</f>
        <v>16873200</v>
      </c>
      <c r="I10" s="31"/>
      <c r="K10" s="18" t="s">
        <v>36</v>
      </c>
      <c r="L10" s="7">
        <v>58000</v>
      </c>
      <c r="M10" s="7">
        <v>52000</v>
      </c>
    </row>
    <row r="11" spans="1:14" ht="21" customHeight="1" x14ac:dyDescent="0.25">
      <c r="A11" s="26"/>
      <c r="B11" s="21" t="s">
        <v>37</v>
      </c>
      <c r="E11" s="47" t="s">
        <v>38</v>
      </c>
      <c r="G11" s="22"/>
      <c r="H11" s="30"/>
      <c r="I11" s="31"/>
    </row>
    <row r="12" spans="1:14" ht="15" customHeight="1" x14ac:dyDescent="0.25">
      <c r="A12" s="26"/>
      <c r="C12" s="48" t="s">
        <v>39</v>
      </c>
      <c r="D12" s="28"/>
      <c r="E12" s="49"/>
      <c r="F12" s="8"/>
      <c r="G12" s="50" t="s">
        <v>40</v>
      </c>
      <c r="H12" s="51"/>
      <c r="I12" s="31"/>
      <c r="K12" s="52" t="s">
        <v>41</v>
      </c>
      <c r="L12" s="52">
        <v>68000</v>
      </c>
    </row>
    <row r="13" spans="1:14" ht="15" customHeight="1" x14ac:dyDescent="0.25">
      <c r="A13" s="26"/>
      <c r="C13" s="53" t="s">
        <v>42</v>
      </c>
      <c r="D13" s="28"/>
      <c r="E13" s="49"/>
      <c r="F13" s="8"/>
      <c r="G13" s="54" t="s">
        <v>40</v>
      </c>
      <c r="H13" s="51"/>
      <c r="I13" s="31"/>
      <c r="K13" s="52" t="s">
        <v>43</v>
      </c>
      <c r="L13" s="52">
        <v>275000</v>
      </c>
    </row>
    <row r="14" spans="1:14" ht="15" customHeight="1" x14ac:dyDescent="0.25">
      <c r="A14" s="26"/>
      <c r="C14" s="48"/>
      <c r="D14" s="28"/>
      <c r="F14" s="8"/>
      <c r="G14" s="55" t="s">
        <v>40</v>
      </c>
      <c r="H14" s="51"/>
      <c r="I14" s="31"/>
      <c r="K14" s="52" t="s">
        <v>44</v>
      </c>
      <c r="L14" s="52">
        <v>48000</v>
      </c>
    </row>
    <row r="15" spans="1:14" ht="15" customHeight="1" x14ac:dyDescent="0.25">
      <c r="A15" s="26"/>
      <c r="B15" s="41" t="s">
        <v>45</v>
      </c>
      <c r="C15" s="46" t="s">
        <v>46</v>
      </c>
      <c r="E15" s="46" t="s">
        <v>47</v>
      </c>
      <c r="F15" s="46" t="s">
        <v>48</v>
      </c>
      <c r="G15" s="56">
        <v>200000</v>
      </c>
      <c r="H15" s="51">
        <f>0-G15</f>
        <v>-200000</v>
      </c>
      <c r="I15" s="31"/>
    </row>
    <row r="16" spans="1:14" ht="15" customHeight="1" x14ac:dyDescent="0.25">
      <c r="A16" s="26"/>
      <c r="B16" s="21" t="s">
        <v>49</v>
      </c>
      <c r="H16" s="51"/>
      <c r="I16" s="31"/>
    </row>
    <row r="17" spans="1:14" ht="15" customHeight="1" x14ac:dyDescent="0.25">
      <c r="A17" s="26"/>
      <c r="C17" s="46" t="s">
        <v>50</v>
      </c>
      <c r="G17" s="57"/>
      <c r="H17" s="51"/>
      <c r="I17" s="31"/>
    </row>
    <row r="18" spans="1:14" ht="15" customHeight="1" x14ac:dyDescent="0.25">
      <c r="A18" s="26"/>
      <c r="C18" s="46" t="s">
        <v>51</v>
      </c>
      <c r="G18" s="58"/>
      <c r="H18" s="51">
        <f>G17+G18</f>
        <v>0</v>
      </c>
      <c r="I18" s="31"/>
    </row>
    <row r="19" spans="1:14" ht="15" customHeight="1" x14ac:dyDescent="0.25">
      <c r="A19" s="26"/>
      <c r="B19" s="21" t="s">
        <v>52</v>
      </c>
      <c r="H19" s="51"/>
      <c r="I19" s="31"/>
      <c r="K19" s="7" t="s">
        <v>53</v>
      </c>
      <c r="L19" s="7">
        <v>37410</v>
      </c>
    </row>
    <row r="20" spans="1:14" ht="15" customHeight="1" x14ac:dyDescent="0.25">
      <c r="A20" s="26"/>
      <c r="B20" s="59"/>
      <c r="C20" s="48" t="s">
        <v>54</v>
      </c>
      <c r="D20" s="27"/>
      <c r="E20" s="27"/>
      <c r="F20" s="46"/>
      <c r="G20" s="57">
        <f>+L19</f>
        <v>37410</v>
      </c>
      <c r="H20" s="51"/>
      <c r="I20" s="31"/>
      <c r="K20" s="46" t="s">
        <v>55</v>
      </c>
      <c r="L20" s="7">
        <v>900000</v>
      </c>
    </row>
    <row r="21" spans="1:14" ht="15" customHeight="1" x14ac:dyDescent="0.25">
      <c r="A21" s="26"/>
      <c r="B21" s="59"/>
      <c r="C21" s="48" t="s">
        <v>56</v>
      </c>
      <c r="D21" s="27"/>
      <c r="E21" s="27"/>
      <c r="F21" s="46"/>
      <c r="G21" s="57">
        <v>9110</v>
      </c>
      <c r="H21" s="51"/>
      <c r="I21" s="31"/>
      <c r="K21" s="49" t="s">
        <v>57</v>
      </c>
      <c r="L21" s="7">
        <f>L20*100/90</f>
        <v>1000000</v>
      </c>
    </row>
    <row r="22" spans="1:14" ht="15" customHeight="1" x14ac:dyDescent="0.25">
      <c r="A22" s="26"/>
      <c r="B22" s="59"/>
      <c r="C22" s="46" t="s">
        <v>58</v>
      </c>
      <c r="D22" s="27"/>
      <c r="E22" s="27"/>
      <c r="F22" s="46"/>
      <c r="G22" s="60">
        <f>+L21</f>
        <v>1000000</v>
      </c>
      <c r="H22" s="51">
        <f>G20+G22+G21</f>
        <v>1046520</v>
      </c>
      <c r="I22" s="31"/>
      <c r="K22" s="7" t="s">
        <v>56</v>
      </c>
      <c r="L22" s="7">
        <v>9110</v>
      </c>
    </row>
    <row r="23" spans="1:14" ht="15" customHeight="1" x14ac:dyDescent="0.25">
      <c r="A23" s="26"/>
      <c r="B23" s="59"/>
      <c r="G23" s="18"/>
      <c r="H23" s="51"/>
      <c r="I23" s="61"/>
    </row>
    <row r="24" spans="1:14" ht="15" customHeight="1" x14ac:dyDescent="0.25">
      <c r="A24" s="26"/>
      <c r="B24" s="21" t="s">
        <v>59</v>
      </c>
      <c r="E24" s="8"/>
      <c r="F24" s="8"/>
      <c r="G24" s="30"/>
      <c r="H24" s="62">
        <f>SUM(H4:H23)</f>
        <v>17719720</v>
      </c>
      <c r="I24" s="63"/>
    </row>
    <row r="25" spans="1:14" ht="15" customHeight="1" x14ac:dyDescent="0.25">
      <c r="A25" s="26"/>
      <c r="B25" s="64" t="s">
        <v>60</v>
      </c>
      <c r="H25" s="51"/>
      <c r="I25" s="31"/>
      <c r="K25" s="65" t="s">
        <v>61</v>
      </c>
      <c r="L25" s="65">
        <v>150000</v>
      </c>
    </row>
    <row r="26" spans="1:14" ht="15" customHeight="1" x14ac:dyDescent="0.25">
      <c r="A26" s="26"/>
      <c r="B26" s="66"/>
      <c r="C26" s="47" t="s">
        <v>62</v>
      </c>
      <c r="E26" s="67" t="s">
        <v>63</v>
      </c>
      <c r="G26" s="57">
        <f>+L25</f>
        <v>150000</v>
      </c>
      <c r="H26" s="51"/>
      <c r="I26" s="31"/>
      <c r="K26" s="65" t="s">
        <v>64</v>
      </c>
      <c r="L26" s="65">
        <v>40000</v>
      </c>
    </row>
    <row r="27" spans="1:14" ht="15" customHeight="1" x14ac:dyDescent="0.25">
      <c r="A27" s="26"/>
      <c r="B27" s="66"/>
      <c r="C27" s="47" t="s">
        <v>65</v>
      </c>
      <c r="E27" s="67" t="s">
        <v>66</v>
      </c>
      <c r="F27" s="68"/>
      <c r="G27" s="57">
        <f>+L26</f>
        <v>40000</v>
      </c>
      <c r="H27" s="51"/>
      <c r="I27" s="31"/>
      <c r="K27" s="65" t="s">
        <v>67</v>
      </c>
      <c r="L27" s="65"/>
    </row>
    <row r="28" spans="1:14" ht="15" customHeight="1" x14ac:dyDescent="0.25">
      <c r="A28" s="26"/>
      <c r="B28" s="66"/>
      <c r="C28" s="47" t="s">
        <v>68</v>
      </c>
      <c r="D28" s="46" t="s">
        <v>69</v>
      </c>
      <c r="E28" s="67" t="s">
        <v>70</v>
      </c>
      <c r="F28" s="68"/>
      <c r="G28" s="57">
        <f>+L28</f>
        <v>16000</v>
      </c>
      <c r="H28" s="51"/>
      <c r="I28" s="31"/>
      <c r="K28" s="69" t="s">
        <v>71</v>
      </c>
      <c r="L28" s="65">
        <v>16000</v>
      </c>
    </row>
    <row r="29" spans="1:14" ht="15" customHeight="1" x14ac:dyDescent="0.25">
      <c r="A29" s="26"/>
      <c r="B29" s="67" t="s">
        <v>72</v>
      </c>
      <c r="C29" s="47" t="s">
        <v>68</v>
      </c>
      <c r="D29" s="46" t="s">
        <v>73</v>
      </c>
      <c r="E29" s="67" t="s">
        <v>66</v>
      </c>
      <c r="F29" s="8"/>
      <c r="G29" s="57">
        <f>+L29</f>
        <v>41500</v>
      </c>
      <c r="H29" s="51"/>
      <c r="I29" s="31"/>
      <c r="K29" s="70" t="s">
        <v>74</v>
      </c>
      <c r="L29" s="65">
        <v>41500</v>
      </c>
      <c r="N29" s="5"/>
    </row>
    <row r="30" spans="1:14" ht="15" customHeight="1" x14ac:dyDescent="0.25">
      <c r="A30" s="26"/>
      <c r="C30" s="47" t="s">
        <v>75</v>
      </c>
      <c r="D30" s="46" t="s">
        <v>76</v>
      </c>
      <c r="E30" s="67" t="s">
        <v>77</v>
      </c>
      <c r="F30" s="8"/>
      <c r="G30" s="56">
        <v>10000</v>
      </c>
      <c r="H30" s="51">
        <f>SUM(G26:G30)</f>
        <v>257500</v>
      </c>
      <c r="I30" s="31"/>
      <c r="K30" s="8" t="s">
        <v>78</v>
      </c>
    </row>
    <row r="31" spans="1:14" ht="15" customHeight="1" thickBot="1" x14ac:dyDescent="0.3">
      <c r="A31" s="26"/>
      <c r="B31" s="71" t="s">
        <v>79</v>
      </c>
      <c r="E31" s="72">
        <f>IF((H24-H30)&lt;0,0,(H24-H30))</f>
        <v>17462220</v>
      </c>
      <c r="F31" s="73" t="s">
        <v>80</v>
      </c>
      <c r="G31" s="74"/>
      <c r="H31" s="75">
        <f>ROUND((E31/10),0)*10</f>
        <v>17462220</v>
      </c>
      <c r="I31" s="76"/>
      <c r="K31" s="77" t="s">
        <v>81</v>
      </c>
      <c r="L31" s="78">
        <v>0.05</v>
      </c>
      <c r="M31" s="7">
        <f>250000*5%</f>
        <v>12500</v>
      </c>
    </row>
    <row r="32" spans="1:14" ht="15" customHeight="1" thickTop="1" x14ac:dyDescent="0.25">
      <c r="A32" s="26"/>
      <c r="B32" s="68" t="s">
        <v>82</v>
      </c>
      <c r="F32" s="79" t="s">
        <v>83</v>
      </c>
      <c r="G32" s="79" t="s">
        <v>84</v>
      </c>
      <c r="H32" s="80"/>
      <c r="I32" s="81"/>
      <c r="K32" s="77" t="s">
        <v>85</v>
      </c>
      <c r="L32" s="78">
        <v>0.2</v>
      </c>
      <c r="M32" s="7">
        <f>500000*20%</f>
        <v>100000</v>
      </c>
    </row>
    <row r="33" spans="1:14" ht="15" customHeight="1" x14ac:dyDescent="0.25">
      <c r="A33" s="26"/>
      <c r="B33" s="82"/>
      <c r="C33" s="46" t="s">
        <v>86</v>
      </c>
      <c r="F33" s="18">
        <f>+H31</f>
        <v>17462220</v>
      </c>
      <c r="G33" s="7">
        <f>IF(+I2="Sr",ROUND(IF(F33&gt;1000000,(((F33-1000000)*0.3)+110000),IF(F33&gt;500000,(((F33-500000)*0.2)+10000),IF(F33&gt;300000,((F33-300000)*0.05),0))),0),ROUND(IF(F33&gt;1000000,(((F33-1000000)*0.3)+112500),IF(F33&gt;500000,(((F33-500000)*0.2)+12500),IF(F33&gt;250000,((F33-250000)*0.05),0))),0))</f>
        <v>5051166</v>
      </c>
      <c r="H33" s="80"/>
      <c r="I33" s="81"/>
      <c r="K33" s="77" t="s">
        <v>87</v>
      </c>
      <c r="L33" s="78">
        <v>0.3</v>
      </c>
      <c r="M33" s="7">
        <f>ROUND((H31-1000000)*30%,0)</f>
        <v>4938666</v>
      </c>
    </row>
    <row r="34" spans="1:14" ht="15" customHeight="1" thickBot="1" x14ac:dyDescent="0.3">
      <c r="A34" s="26"/>
      <c r="B34" s="46" t="s">
        <v>88</v>
      </c>
      <c r="C34" s="46" t="s">
        <v>89</v>
      </c>
      <c r="D34" s="83"/>
      <c r="E34" s="8"/>
      <c r="F34" s="83"/>
      <c r="G34" s="84"/>
      <c r="H34" s="85">
        <f>G33-G34</f>
        <v>5051166</v>
      </c>
      <c r="I34" s="86"/>
      <c r="M34" s="87">
        <f>SUM(M31:M33)</f>
        <v>5051166</v>
      </c>
    </row>
    <row r="35" spans="1:14" ht="15" customHeight="1" thickTop="1" x14ac:dyDescent="0.25">
      <c r="A35" s="26"/>
      <c r="B35" s="7" t="s">
        <v>90</v>
      </c>
      <c r="C35" s="46"/>
      <c r="D35" s="83"/>
      <c r="E35" s="8"/>
      <c r="G35" s="88">
        <v>0.15</v>
      </c>
      <c r="H35" s="89">
        <f>IF(H31&gt;10000000,H34*15%,IF(H31&gt;5000000,H34*10%,0))</f>
        <v>757674.9</v>
      </c>
      <c r="I35" s="90"/>
    </row>
    <row r="36" spans="1:14" ht="15" customHeight="1" x14ac:dyDescent="0.25">
      <c r="A36" s="26"/>
      <c r="C36" s="46"/>
      <c r="D36" s="83"/>
      <c r="E36" s="8"/>
      <c r="G36" s="91"/>
      <c r="H36" s="92">
        <f>H34+H35</f>
        <v>5808840.9000000004</v>
      </c>
      <c r="I36" s="86"/>
      <c r="K36" s="93" t="s">
        <v>91</v>
      </c>
      <c r="L36" s="94" t="s">
        <v>92</v>
      </c>
      <c r="M36" s="94" t="s">
        <v>93</v>
      </c>
    </row>
    <row r="37" spans="1:14" ht="15" customHeight="1" x14ac:dyDescent="0.25">
      <c r="A37" s="26"/>
      <c r="B37" s="46" t="s">
        <v>94</v>
      </c>
      <c r="D37" s="83"/>
      <c r="E37" s="8"/>
      <c r="G37" s="88">
        <v>0.04</v>
      </c>
      <c r="H37" s="89">
        <f>ROUND((H36)*0.04,0)</f>
        <v>232354</v>
      </c>
      <c r="I37" s="90"/>
      <c r="K37" s="95" t="s">
        <v>95</v>
      </c>
      <c r="L37" s="96">
        <v>890000</v>
      </c>
      <c r="M37" s="97">
        <v>2710000</v>
      </c>
      <c r="N37" s="5" t="s">
        <v>96</v>
      </c>
    </row>
    <row r="38" spans="1:14" ht="15" customHeight="1" x14ac:dyDescent="0.25">
      <c r="A38" s="26"/>
      <c r="B38" s="68" t="s">
        <v>97</v>
      </c>
      <c r="D38" s="83"/>
      <c r="E38" s="73"/>
      <c r="G38" s="8"/>
      <c r="H38" s="98">
        <f>SUM(H36:H37)</f>
        <v>6041194.9000000004</v>
      </c>
      <c r="I38" s="99"/>
      <c r="K38" s="95" t="s">
        <v>98</v>
      </c>
      <c r="L38" s="96">
        <v>810000</v>
      </c>
      <c r="M38" s="97">
        <v>2270000</v>
      </c>
      <c r="N38" s="5" t="s">
        <v>99</v>
      </c>
    </row>
    <row r="39" spans="1:14" ht="15" customHeight="1" x14ac:dyDescent="0.3">
      <c r="A39" s="26"/>
      <c r="B39" s="46" t="s">
        <v>100</v>
      </c>
      <c r="D39" s="83"/>
      <c r="E39" s="100" t="s">
        <v>101</v>
      </c>
      <c r="G39" s="101"/>
      <c r="H39" s="92">
        <f>+H64</f>
        <v>20561</v>
      </c>
      <c r="I39" s="99"/>
      <c r="K39" s="95" t="s">
        <v>102</v>
      </c>
      <c r="L39" s="96">
        <v>200000</v>
      </c>
      <c r="M39" s="97">
        <v>81700000</v>
      </c>
      <c r="N39" s="5" t="s">
        <v>103</v>
      </c>
    </row>
    <row r="40" spans="1:14" ht="15" customHeight="1" x14ac:dyDescent="0.25">
      <c r="A40" s="26"/>
      <c r="B40" s="46" t="s">
        <v>104</v>
      </c>
      <c r="C40" s="8"/>
      <c r="D40" s="8"/>
      <c r="E40" s="8"/>
      <c r="G40" s="101"/>
      <c r="H40" s="102"/>
      <c r="I40" s="103"/>
      <c r="K40" s="95" t="s">
        <v>105</v>
      </c>
      <c r="L40" s="96">
        <v>42000</v>
      </c>
      <c r="M40" s="97"/>
    </row>
    <row r="41" spans="1:14" ht="15" customHeight="1" thickBot="1" x14ac:dyDescent="0.3">
      <c r="A41" s="26"/>
      <c r="B41" s="68" t="s">
        <v>106</v>
      </c>
      <c r="C41" s="8"/>
      <c r="D41" s="8"/>
      <c r="E41" s="8"/>
      <c r="F41" s="8"/>
      <c r="G41" s="8"/>
      <c r="H41" s="51">
        <f>H38+H40+H39</f>
        <v>6061755.9000000004</v>
      </c>
      <c r="I41" s="31"/>
      <c r="K41" s="95"/>
      <c r="L41" s="104">
        <f>SUM(L37:L40)</f>
        <v>1942000</v>
      </c>
      <c r="M41" s="105"/>
    </row>
    <row r="42" spans="1:14" ht="15" customHeight="1" thickTop="1" x14ac:dyDescent="0.25">
      <c r="A42" s="26"/>
      <c r="B42" s="21" t="s">
        <v>107</v>
      </c>
      <c r="C42" s="8"/>
      <c r="D42" s="8"/>
      <c r="E42" s="8"/>
      <c r="F42" s="8"/>
      <c r="G42" s="8"/>
      <c r="H42" s="51"/>
      <c r="I42" s="31"/>
    </row>
    <row r="43" spans="1:14" ht="15" customHeight="1" x14ac:dyDescent="0.3">
      <c r="A43" s="26"/>
      <c r="B43" s="106">
        <v>44086</v>
      </c>
      <c r="C43" s="107" t="s">
        <v>108</v>
      </c>
      <c r="D43" s="107"/>
      <c r="E43" s="108"/>
      <c r="F43" s="108"/>
      <c r="G43" s="109">
        <v>40000</v>
      </c>
      <c r="H43" s="51"/>
      <c r="I43" s="31"/>
      <c r="K43" s="77" t="s">
        <v>109</v>
      </c>
      <c r="L43" s="18">
        <f>+H10</f>
        <v>16873200</v>
      </c>
    </row>
    <row r="44" spans="1:14" ht="15" customHeight="1" x14ac:dyDescent="0.3">
      <c r="A44" s="26"/>
      <c r="B44" s="106">
        <v>44316</v>
      </c>
      <c r="C44" s="107" t="s">
        <v>110</v>
      </c>
      <c r="D44" s="107"/>
      <c r="E44" s="107"/>
      <c r="F44" s="108"/>
      <c r="G44" s="109">
        <v>106000</v>
      </c>
      <c r="H44" s="51"/>
      <c r="I44" s="31"/>
      <c r="K44" s="110" t="s">
        <v>111</v>
      </c>
      <c r="L44" s="18">
        <f>+H15</f>
        <v>-200000</v>
      </c>
    </row>
    <row r="45" spans="1:14" ht="15" customHeight="1" x14ac:dyDescent="0.3">
      <c r="A45" s="26"/>
      <c r="B45" s="111"/>
      <c r="C45" s="107" t="s">
        <v>112</v>
      </c>
      <c r="D45" s="107"/>
      <c r="E45" s="108" t="s">
        <v>113</v>
      </c>
      <c r="F45" s="108"/>
      <c r="G45" s="109">
        <v>5666100</v>
      </c>
      <c r="H45" s="51"/>
      <c r="I45" s="31"/>
      <c r="K45" s="112" t="s">
        <v>114</v>
      </c>
      <c r="L45" s="113">
        <f>(G26+G27+G28+G29)*-1</f>
        <v>-247500</v>
      </c>
      <c r="M45" s="114">
        <f>L43+L44+L45</f>
        <v>16425700</v>
      </c>
    </row>
    <row r="46" spans="1:14" ht="15" customHeight="1" x14ac:dyDescent="0.3">
      <c r="A46" s="26"/>
      <c r="B46" s="111"/>
      <c r="C46" s="107" t="s">
        <v>115</v>
      </c>
      <c r="D46" s="107"/>
      <c r="E46" s="108" t="s">
        <v>116</v>
      </c>
      <c r="F46" s="108"/>
      <c r="G46" s="109">
        <v>100000</v>
      </c>
      <c r="H46" s="51"/>
      <c r="I46" s="31"/>
      <c r="K46" s="115" t="s">
        <v>78</v>
      </c>
      <c r="M46" s="7">
        <f>ROUND(112500+(M45-1000000)*0.3,0)</f>
        <v>4740210</v>
      </c>
    </row>
    <row r="47" spans="1:14" ht="15" customHeight="1" x14ac:dyDescent="0.3">
      <c r="A47" s="26"/>
      <c r="D47" s="108"/>
      <c r="E47" s="116"/>
      <c r="G47" s="109"/>
      <c r="H47" s="51">
        <f>SUM(G43:G47)</f>
        <v>5912100</v>
      </c>
      <c r="I47" s="31"/>
      <c r="K47" s="115" t="s">
        <v>117</v>
      </c>
      <c r="L47" s="78">
        <v>0.15</v>
      </c>
      <c r="M47" s="7">
        <f>ROUND(M46*L47,0)</f>
        <v>711032</v>
      </c>
    </row>
    <row r="48" spans="1:14" ht="15" customHeight="1" thickBot="1" x14ac:dyDescent="0.3">
      <c r="A48" s="117"/>
      <c r="B48" s="118" t="str">
        <f>IF(H48=0,"TAX  PAYABLE / REFUND ",IF(H48&lt;0,"REFUND","TAX  PAYABLE"))</f>
        <v>TAX  PAYABLE</v>
      </c>
      <c r="C48" s="119"/>
      <c r="D48" s="120"/>
      <c r="E48" s="120"/>
      <c r="F48" s="121" t="s">
        <v>118</v>
      </c>
      <c r="G48" s="122"/>
      <c r="H48" s="123">
        <f>ROUND((H41-H47)/10,0)*10</f>
        <v>149660</v>
      </c>
      <c r="I48" s="124"/>
      <c r="K48" s="115" t="s">
        <v>119</v>
      </c>
      <c r="L48" s="78">
        <v>0.04</v>
      </c>
      <c r="M48" s="7">
        <f>ROUND((M47+M46)*0.04,0)</f>
        <v>218050</v>
      </c>
    </row>
    <row r="49" spans="1:14" ht="15" customHeight="1" thickBot="1" x14ac:dyDescent="0.3">
      <c r="A49" s="125" t="s">
        <v>120</v>
      </c>
      <c r="B49" s="126"/>
      <c r="C49" s="126"/>
      <c r="D49" s="126"/>
      <c r="E49" s="126"/>
      <c r="F49" s="126"/>
      <c r="G49" s="126"/>
      <c r="H49" s="126"/>
      <c r="I49" s="127"/>
      <c r="K49" s="116" t="s">
        <v>121</v>
      </c>
      <c r="M49" s="128">
        <f>SUM(M46:M48)</f>
        <v>5669292</v>
      </c>
    </row>
    <row r="50" spans="1:14" ht="15" customHeight="1" thickTop="1" thickBot="1" x14ac:dyDescent="0.3">
      <c r="A50" s="129">
        <v>44429</v>
      </c>
      <c r="B50" s="130"/>
      <c r="C50" s="131" t="s">
        <v>122</v>
      </c>
      <c r="D50" s="132"/>
      <c r="E50" s="133" t="s">
        <v>123</v>
      </c>
      <c r="F50" s="134" t="s">
        <v>124</v>
      </c>
      <c r="G50" s="134"/>
      <c r="H50" s="134"/>
      <c r="I50" s="135"/>
      <c r="K50" s="136"/>
      <c r="L50" s="137"/>
      <c r="M50" s="138"/>
      <c r="N50" s="138"/>
    </row>
    <row r="51" spans="1:14" ht="15" customHeight="1" thickBot="1" x14ac:dyDescent="0.3">
      <c r="A51" s="139"/>
      <c r="B51" s="139"/>
      <c r="C51" s="140"/>
      <c r="D51" s="141"/>
      <c r="E51" s="141"/>
      <c r="F51" s="141"/>
      <c r="G51" s="141"/>
      <c r="H51" s="141"/>
      <c r="I51" s="141"/>
      <c r="K51" s="136"/>
      <c r="L51" s="142"/>
      <c r="M51" s="138"/>
      <c r="N51" s="138"/>
    </row>
    <row r="52" spans="1:14" ht="15" customHeight="1" x14ac:dyDescent="0.25">
      <c r="A52" s="139"/>
      <c r="B52" s="136"/>
      <c r="C52" s="143"/>
      <c r="D52" s="141"/>
      <c r="E52" s="144" t="s">
        <v>125</v>
      </c>
      <c r="F52" s="145" t="s">
        <v>126</v>
      </c>
      <c r="G52" s="145"/>
      <c r="H52" s="145"/>
      <c r="I52" s="141"/>
      <c r="K52" s="146" t="s">
        <v>127</v>
      </c>
      <c r="L52" s="147"/>
      <c r="M52" s="138"/>
      <c r="N52" s="138"/>
    </row>
    <row r="53" spans="1:14" ht="15" customHeight="1" x14ac:dyDescent="0.25">
      <c r="A53" s="139"/>
      <c r="B53" s="148"/>
      <c r="C53" s="149"/>
      <c r="D53" s="141"/>
      <c r="F53" s="150" t="s">
        <v>128</v>
      </c>
      <c r="G53" s="150"/>
      <c r="H53" s="151">
        <f>+G9</f>
        <v>16923200</v>
      </c>
      <c r="I53" s="141"/>
      <c r="K53" s="152" t="s">
        <v>129</v>
      </c>
      <c r="L53" s="153" t="s">
        <v>40</v>
      </c>
      <c r="M53" s="138"/>
      <c r="N53" s="138"/>
    </row>
    <row r="54" spans="1:14" ht="15" customHeight="1" x14ac:dyDescent="0.25">
      <c r="B54" s="154"/>
      <c r="C54" s="155"/>
      <c r="F54" s="156" t="s">
        <v>130</v>
      </c>
      <c r="G54" s="156"/>
      <c r="K54" s="152" t="s">
        <v>131</v>
      </c>
      <c r="L54" s="157">
        <v>0.05</v>
      </c>
    </row>
    <row r="55" spans="1:14" ht="15" customHeight="1" x14ac:dyDescent="0.25">
      <c r="B55" s="158"/>
      <c r="C55" s="158"/>
      <c r="F55" s="113" t="s">
        <v>132</v>
      </c>
      <c r="G55" s="113"/>
      <c r="H55" s="159">
        <f>+H22</f>
        <v>1046520</v>
      </c>
      <c r="K55" s="152" t="s">
        <v>133</v>
      </c>
      <c r="L55" s="157">
        <v>0.2</v>
      </c>
    </row>
    <row r="56" spans="1:14" ht="15" customHeight="1" thickBot="1" x14ac:dyDescent="0.3">
      <c r="B56" s="158"/>
      <c r="C56" s="160"/>
      <c r="E56" s="161">
        <f>+H31</f>
        <v>17462220</v>
      </c>
      <c r="F56" s="162"/>
      <c r="G56" s="163" t="s">
        <v>134</v>
      </c>
      <c r="H56" s="164">
        <f>SUM(H53:H55)</f>
        <v>17969720</v>
      </c>
      <c r="K56" s="152" t="s">
        <v>135</v>
      </c>
      <c r="L56" s="157">
        <v>0.3</v>
      </c>
    </row>
    <row r="57" spans="1:14" ht="15" customHeight="1" thickTop="1" x14ac:dyDescent="0.25">
      <c r="B57" s="158"/>
      <c r="C57" s="160"/>
      <c r="K57" s="165" t="s">
        <v>126</v>
      </c>
      <c r="L57" s="166"/>
    </row>
    <row r="58" spans="1:14" ht="15" customHeight="1" x14ac:dyDescent="0.25">
      <c r="B58" s="158"/>
      <c r="C58" s="160"/>
      <c r="G58" s="28" t="s">
        <v>78</v>
      </c>
      <c r="H58" s="7">
        <f>ROUND(IF(H56&gt;1500000,(H56-1500000)*30%+187500,IF(H56&gt;1250000,(H56-1250000)*25%+125000,IF(H56&gt;1000000,(H56-1000000)*20%+75000,IF(H56&gt;750000,(H56-750000)*15%+37500,IF(H56&gt;500000,(H56-500000)*10%+12500, IF(H56&gt;250000,(H56-250000)*5%,0)))))),0)</f>
        <v>5128416</v>
      </c>
      <c r="K58" s="167" t="s">
        <v>136</v>
      </c>
      <c r="L58" s="168" t="s">
        <v>40</v>
      </c>
    </row>
    <row r="59" spans="1:14" ht="15" customHeight="1" x14ac:dyDescent="0.25">
      <c r="B59" s="158"/>
      <c r="C59" s="160"/>
      <c r="G59" s="28" t="s">
        <v>117</v>
      </c>
      <c r="H59" s="113">
        <f>ROUND(H58*0.15,0)</f>
        <v>769262</v>
      </c>
      <c r="K59" s="167" t="s">
        <v>131</v>
      </c>
      <c r="L59" s="169">
        <v>0.05</v>
      </c>
    </row>
    <row r="60" spans="1:14" ht="15" customHeight="1" x14ac:dyDescent="0.25">
      <c r="B60" s="158"/>
      <c r="C60" s="160"/>
      <c r="H60" s="7">
        <f>H58+H59</f>
        <v>5897678</v>
      </c>
      <c r="K60" s="167" t="s">
        <v>137</v>
      </c>
      <c r="L60" s="169">
        <v>0.1</v>
      </c>
    </row>
    <row r="61" spans="1:14" ht="15" customHeight="1" x14ac:dyDescent="0.25">
      <c r="B61" s="158"/>
      <c r="C61" s="160"/>
      <c r="G61" s="28" t="s">
        <v>119</v>
      </c>
      <c r="H61" s="7">
        <f>ROUND(H60*4%,0)</f>
        <v>235907</v>
      </c>
      <c r="K61" s="167" t="s">
        <v>138</v>
      </c>
      <c r="L61" s="169">
        <v>0.15</v>
      </c>
    </row>
    <row r="62" spans="1:14" ht="15" customHeight="1" thickBot="1" x14ac:dyDescent="0.3">
      <c r="B62" s="158"/>
      <c r="C62" s="160"/>
      <c r="E62" s="161">
        <f>+H38</f>
        <v>6041194.9000000004</v>
      </c>
      <c r="F62" s="162"/>
      <c r="G62" s="170" t="s">
        <v>139</v>
      </c>
      <c r="H62" s="171">
        <f>SUM(H60:H61)</f>
        <v>6133585</v>
      </c>
      <c r="K62" s="167" t="s">
        <v>140</v>
      </c>
      <c r="L62" s="169">
        <v>0.2</v>
      </c>
    </row>
    <row r="63" spans="1:14" ht="15" customHeight="1" thickTop="1" x14ac:dyDescent="0.25">
      <c r="B63" s="158"/>
      <c r="C63" s="160"/>
      <c r="G63" s="28"/>
      <c r="K63" s="167" t="s">
        <v>141</v>
      </c>
      <c r="L63" s="169">
        <v>0.25</v>
      </c>
    </row>
    <row r="64" spans="1:14" ht="15" customHeight="1" thickBot="1" x14ac:dyDescent="0.3">
      <c r="B64" s="172" t="s">
        <v>142</v>
      </c>
      <c r="C64" s="173"/>
      <c r="D64" s="173"/>
      <c r="E64" s="173"/>
      <c r="F64" s="173"/>
      <c r="G64" s="174" t="s">
        <v>143</v>
      </c>
      <c r="H64" s="175">
        <f>+H76+H88+H98</f>
        <v>20561</v>
      </c>
      <c r="J64" s="176"/>
      <c r="K64" s="167" t="s">
        <v>144</v>
      </c>
      <c r="L64" s="169">
        <v>0.3</v>
      </c>
    </row>
    <row r="65" spans="1:14" ht="15" customHeight="1" x14ac:dyDescent="0.25">
      <c r="B65" s="177" t="s">
        <v>145</v>
      </c>
      <c r="C65" s="140"/>
      <c r="D65" s="140"/>
      <c r="E65" s="140"/>
      <c r="F65" s="140"/>
      <c r="G65" s="148"/>
      <c r="H65" s="178"/>
      <c r="J65" s="176"/>
      <c r="K65" s="179" t="s">
        <v>146</v>
      </c>
      <c r="L65" s="180"/>
      <c r="M65" s="181" t="s">
        <v>147</v>
      </c>
      <c r="N65" s="182" t="s">
        <v>148</v>
      </c>
    </row>
    <row r="66" spans="1:14" ht="15" customHeight="1" x14ac:dyDescent="0.25">
      <c r="B66" s="53" t="s">
        <v>149</v>
      </c>
      <c r="C66" s="140"/>
      <c r="D66" s="140"/>
      <c r="E66" s="151">
        <f>+H38</f>
        <v>6041194.9000000004</v>
      </c>
      <c r="G66" s="140"/>
      <c r="I66" s="140"/>
      <c r="J66" s="140"/>
      <c r="K66" s="183" t="s">
        <v>150</v>
      </c>
      <c r="L66" s="184"/>
      <c r="M66" s="181" t="s">
        <v>151</v>
      </c>
      <c r="N66" s="185" t="s">
        <v>152</v>
      </c>
    </row>
    <row r="67" spans="1:14" ht="15" customHeight="1" x14ac:dyDescent="0.25">
      <c r="B67" s="53" t="s">
        <v>153</v>
      </c>
      <c r="C67" s="140"/>
      <c r="D67" s="140"/>
      <c r="E67" s="151">
        <f>(+G45+G46)*-1</f>
        <v>-5766100</v>
      </c>
      <c r="G67" s="140"/>
      <c r="I67" s="140"/>
      <c r="J67" s="140"/>
      <c r="K67" s="186" t="s">
        <v>154</v>
      </c>
      <c r="L67" s="187"/>
      <c r="M67" s="188" t="s">
        <v>155</v>
      </c>
      <c r="N67" s="185" t="s">
        <v>156</v>
      </c>
    </row>
    <row r="68" spans="1:14" ht="15" customHeight="1" thickBot="1" x14ac:dyDescent="0.3">
      <c r="B68" s="53" t="s">
        <v>157</v>
      </c>
      <c r="C68" s="140"/>
      <c r="D68" s="140"/>
      <c r="E68" s="189">
        <f>E66+E67</f>
        <v>275094.90000000037</v>
      </c>
      <c r="G68" s="140"/>
      <c r="I68" s="140"/>
      <c r="J68" s="140"/>
      <c r="K68" s="186" t="s">
        <v>158</v>
      </c>
      <c r="L68" s="187"/>
      <c r="M68" s="188" t="s">
        <v>159</v>
      </c>
      <c r="N68" s="185" t="s">
        <v>160</v>
      </c>
    </row>
    <row r="69" spans="1:14" ht="15" customHeight="1" thickTop="1" thickBot="1" x14ac:dyDescent="0.3">
      <c r="C69" s="140"/>
      <c r="D69" s="140"/>
      <c r="E69" s="190">
        <f>IF(E68&gt;10000,E68,0)</f>
        <v>275094.90000000037</v>
      </c>
      <c r="G69" s="140"/>
      <c r="J69" s="191"/>
      <c r="K69" s="192" t="s">
        <v>161</v>
      </c>
      <c r="L69" s="193"/>
    </row>
    <row r="70" spans="1:14" ht="25.5" customHeight="1" x14ac:dyDescent="0.25">
      <c r="B70" s="194" t="s">
        <v>162</v>
      </c>
      <c r="C70" s="194" t="s">
        <v>163</v>
      </c>
      <c r="D70" s="194" t="s">
        <v>164</v>
      </c>
      <c r="E70" s="194" t="s">
        <v>165</v>
      </c>
      <c r="F70" s="195" t="s">
        <v>166</v>
      </c>
      <c r="G70" s="196" t="s">
        <v>167</v>
      </c>
      <c r="H70" s="194" t="s">
        <v>168</v>
      </c>
      <c r="I70" s="197" t="s">
        <v>169</v>
      </c>
      <c r="J70" s="197"/>
      <c r="K70" s="198" t="s">
        <v>170</v>
      </c>
    </row>
    <row r="71" spans="1:14" ht="15" customHeight="1" x14ac:dyDescent="0.25">
      <c r="A71" s="199">
        <v>1</v>
      </c>
      <c r="B71" s="200"/>
      <c r="C71" s="201"/>
      <c r="D71" s="200">
        <v>43997</v>
      </c>
      <c r="E71" s="151">
        <f>E69*0.15</f>
        <v>41264.235000000052</v>
      </c>
      <c r="F71" s="151">
        <f>ROUNDDOWN(+E71,-2)</f>
        <v>41200</v>
      </c>
      <c r="G71" s="151">
        <f>(F71-C71)</f>
        <v>41200</v>
      </c>
      <c r="H71" s="188">
        <f>IF(G71&gt;0,G71*0.12/12*3,0)</f>
        <v>1236</v>
      </c>
      <c r="J71" s="202" t="s">
        <v>171</v>
      </c>
      <c r="K71" s="203">
        <v>11086</v>
      </c>
    </row>
    <row r="72" spans="1:14" ht="15" customHeight="1" x14ac:dyDescent="0.25">
      <c r="A72" s="199">
        <v>2</v>
      </c>
      <c r="B72" s="204">
        <v>44086</v>
      </c>
      <c r="C72" s="201">
        <v>40000</v>
      </c>
      <c r="D72" s="200">
        <v>44089</v>
      </c>
      <c r="E72" s="151">
        <f>E69*0.45</f>
        <v>123792.70500000018</v>
      </c>
      <c r="F72" s="151">
        <f>ROUNDDOWN(+E72,-2)</f>
        <v>123700</v>
      </c>
      <c r="G72" s="151">
        <f>(F72-C72-C71)</f>
        <v>83700</v>
      </c>
      <c r="H72" s="188">
        <f>IF(G72&gt;0,G72*0.12/12*3,0)</f>
        <v>2511</v>
      </c>
      <c r="J72" s="202" t="s">
        <v>172</v>
      </c>
      <c r="K72" s="203">
        <v>11086</v>
      </c>
    </row>
    <row r="73" spans="1:14" ht="15" customHeight="1" x14ac:dyDescent="0.25">
      <c r="A73" s="199">
        <v>3</v>
      </c>
      <c r="B73" s="200"/>
      <c r="C73" s="201"/>
      <c r="D73" s="200">
        <v>44180</v>
      </c>
      <c r="E73" s="151">
        <f>E69*0.75</f>
        <v>206321.17500000028</v>
      </c>
      <c r="F73" s="151">
        <f>ROUNDDOWN(+E73,-2)</f>
        <v>206300</v>
      </c>
      <c r="G73" s="151">
        <f>(F73-(C71+C72+C73))</f>
        <v>166300</v>
      </c>
      <c r="H73" s="188">
        <f>IF(G73&gt;0,G73*0.12/12*3,0)</f>
        <v>4989</v>
      </c>
      <c r="J73" s="202" t="s">
        <v>173</v>
      </c>
      <c r="K73" s="203">
        <f>+K72</f>
        <v>11086</v>
      </c>
    </row>
    <row r="74" spans="1:14" ht="15" customHeight="1" x14ac:dyDescent="0.25">
      <c r="A74" s="199">
        <v>4</v>
      </c>
      <c r="B74" s="200"/>
      <c r="C74" s="201"/>
      <c r="D74" s="200">
        <v>44270</v>
      </c>
      <c r="E74" s="151">
        <f>E69*1</f>
        <v>275094.90000000037</v>
      </c>
      <c r="F74" s="151">
        <f>ROUNDDOWN(+E74,-2)</f>
        <v>275000</v>
      </c>
      <c r="G74" s="151">
        <f>(F74-(C71+C72+C73+C74))</f>
        <v>235000</v>
      </c>
      <c r="H74" s="188">
        <f>IF(G74&gt;0,G74*0.12/12,0)</f>
        <v>2350</v>
      </c>
      <c r="I74" s="205"/>
      <c r="J74" s="202" t="s">
        <v>174</v>
      </c>
      <c r="K74" s="203">
        <f>+K72</f>
        <v>11086</v>
      </c>
    </row>
    <row r="75" spans="1:14" ht="15" customHeight="1" x14ac:dyDescent="0.25">
      <c r="A75" s="199">
        <v>5</v>
      </c>
      <c r="B75" s="200"/>
      <c r="C75" s="201"/>
      <c r="D75" s="200">
        <v>44286</v>
      </c>
      <c r="F75" s="205"/>
      <c r="G75" s="205"/>
      <c r="H75" s="18"/>
      <c r="J75" s="8"/>
    </row>
    <row r="76" spans="1:14" ht="15" customHeight="1" thickBot="1" x14ac:dyDescent="0.3">
      <c r="B76" s="140"/>
      <c r="C76" s="206">
        <f>SUM(C71:C75)</f>
        <v>40000</v>
      </c>
      <c r="D76" s="140"/>
      <c r="E76" s="140"/>
      <c r="F76" s="140"/>
      <c r="G76" s="140"/>
      <c r="H76" s="207">
        <f>SUM(H71:H74)</f>
        <v>11086</v>
      </c>
      <c r="J76" s="8"/>
    </row>
    <row r="77" spans="1:14" ht="15" customHeight="1" thickTop="1" thickBot="1" x14ac:dyDescent="0.3">
      <c r="A77" s="208"/>
      <c r="B77" s="209"/>
      <c r="C77" s="210"/>
      <c r="D77" s="209"/>
      <c r="E77" s="209"/>
      <c r="F77" s="209"/>
      <c r="G77" s="209"/>
      <c r="H77" s="209"/>
      <c r="J77" s="8"/>
    </row>
    <row r="78" spans="1:14" ht="15" customHeight="1" x14ac:dyDescent="0.25">
      <c r="B78" s="177" t="s">
        <v>175</v>
      </c>
      <c r="C78" s="211"/>
      <c r="D78" s="140"/>
      <c r="E78" s="140"/>
      <c r="F78" s="140"/>
      <c r="G78" s="140"/>
      <c r="H78" s="181" t="s">
        <v>168</v>
      </c>
      <c r="J78" s="8"/>
    </row>
    <row r="79" spans="1:14" ht="15" customHeight="1" x14ac:dyDescent="0.25">
      <c r="B79" s="53" t="s">
        <v>149</v>
      </c>
      <c r="C79" s="140"/>
      <c r="D79" s="140"/>
      <c r="E79" s="151">
        <f>+E66</f>
        <v>6041194.9000000004</v>
      </c>
      <c r="F79" s="140"/>
      <c r="G79" s="212">
        <v>44287</v>
      </c>
      <c r="H79" s="188">
        <f>F85*0.01</f>
        <v>2350</v>
      </c>
      <c r="J79" s="8"/>
    </row>
    <row r="80" spans="1:14" ht="15" customHeight="1" x14ac:dyDescent="0.25">
      <c r="B80" s="213" t="s">
        <v>153</v>
      </c>
      <c r="C80" s="140"/>
      <c r="D80" s="140"/>
      <c r="E80" s="151">
        <f>+E67</f>
        <v>-5766100</v>
      </c>
      <c r="F80" s="140"/>
      <c r="G80" s="212">
        <v>44317</v>
      </c>
      <c r="H80" s="188">
        <f>F89*0.01</f>
        <v>1425</v>
      </c>
      <c r="J80" s="8"/>
    </row>
    <row r="81" spans="1:11" ht="15" customHeight="1" thickBot="1" x14ac:dyDescent="0.3">
      <c r="B81" s="213"/>
      <c r="C81" s="140"/>
      <c r="D81" s="140"/>
      <c r="E81" s="189">
        <f>E79+E80</f>
        <v>275094.90000000037</v>
      </c>
      <c r="G81" s="212">
        <v>44348</v>
      </c>
      <c r="H81" s="188">
        <f>+H80</f>
        <v>1425</v>
      </c>
      <c r="J81" s="8"/>
    </row>
    <row r="82" spans="1:11" ht="15" customHeight="1" thickTop="1" x14ac:dyDescent="0.25">
      <c r="F82" s="140"/>
      <c r="G82" s="212">
        <v>44378</v>
      </c>
      <c r="H82" s="188">
        <f>+H80</f>
        <v>1425</v>
      </c>
      <c r="J82" s="8"/>
    </row>
    <row r="83" spans="1:11" ht="15" customHeight="1" x14ac:dyDescent="0.25">
      <c r="B83" s="140" t="s">
        <v>176</v>
      </c>
      <c r="C83" s="211"/>
      <c r="D83" s="214">
        <v>0.9</v>
      </c>
      <c r="E83" s="215">
        <f>ROUND(E81*90%,0)</f>
        <v>247585</v>
      </c>
      <c r="F83" s="140"/>
      <c r="G83" s="212">
        <v>44409</v>
      </c>
      <c r="H83" s="188">
        <f>+H80</f>
        <v>1425</v>
      </c>
      <c r="I83" s="216" t="s">
        <v>169</v>
      </c>
      <c r="J83" s="216"/>
      <c r="K83" s="144" t="s">
        <v>177</v>
      </c>
    </row>
    <row r="84" spans="1:11" ht="15" customHeight="1" x14ac:dyDescent="0.25">
      <c r="B84" s="140" t="s">
        <v>178</v>
      </c>
      <c r="C84" s="211"/>
      <c r="D84" s="140"/>
      <c r="E84" s="151">
        <f>ROUND(+C76,0)</f>
        <v>40000</v>
      </c>
      <c r="F84" s="140"/>
      <c r="G84" s="212">
        <v>44440</v>
      </c>
      <c r="J84" s="116" t="s">
        <v>171</v>
      </c>
      <c r="K84" s="217">
        <f>8050+1425</f>
        <v>9475</v>
      </c>
    </row>
    <row r="85" spans="1:11" ht="15" customHeight="1" x14ac:dyDescent="0.25">
      <c r="B85" s="7" t="s">
        <v>179</v>
      </c>
      <c r="C85" s="211"/>
      <c r="D85" s="140"/>
      <c r="E85" s="151">
        <f>E81-E84</f>
        <v>235094.90000000037</v>
      </c>
      <c r="F85" s="151">
        <f>ROUNDDOWN(E85,-2)</f>
        <v>235000</v>
      </c>
      <c r="G85" s="212">
        <v>44470</v>
      </c>
      <c r="H85" s="218"/>
      <c r="J85" s="116" t="s">
        <v>172</v>
      </c>
      <c r="K85" s="217">
        <f>+K84+1425</f>
        <v>10900</v>
      </c>
    </row>
    <row r="86" spans="1:11" ht="15" customHeight="1" x14ac:dyDescent="0.25">
      <c r="B86" s="204">
        <v>44316</v>
      </c>
      <c r="C86" s="140" t="s">
        <v>180</v>
      </c>
      <c r="D86" s="140"/>
      <c r="E86" s="219">
        <f>+G44</f>
        <v>106000</v>
      </c>
      <c r="F86" s="140"/>
      <c r="G86" s="212">
        <v>44501</v>
      </c>
      <c r="H86" s="218"/>
      <c r="J86" s="116" t="s">
        <v>173</v>
      </c>
      <c r="K86" s="217">
        <f>+K85+1425</f>
        <v>12325</v>
      </c>
    </row>
    <row r="87" spans="1:11" ht="15" customHeight="1" x14ac:dyDescent="0.25">
      <c r="C87" s="46" t="s">
        <v>181</v>
      </c>
      <c r="E87" s="219">
        <f>H76+H79</f>
        <v>13436</v>
      </c>
      <c r="F87" s="140"/>
      <c r="G87" s="212">
        <v>44531</v>
      </c>
      <c r="H87" s="220"/>
      <c r="J87" s="116" t="s">
        <v>174</v>
      </c>
      <c r="K87" s="217">
        <f>+K86+1425</f>
        <v>13750</v>
      </c>
    </row>
    <row r="88" spans="1:11" ht="15" customHeight="1" thickBot="1" x14ac:dyDescent="0.3">
      <c r="C88" s="53" t="s">
        <v>182</v>
      </c>
      <c r="E88" s="219">
        <f>E86-E87</f>
        <v>92564</v>
      </c>
      <c r="F88" s="140"/>
      <c r="G88" s="140"/>
      <c r="H88" s="207">
        <f>SUM(H79:H87)</f>
        <v>8050</v>
      </c>
      <c r="J88" s="8"/>
    </row>
    <row r="89" spans="1:11" ht="15" customHeight="1" thickTop="1" x14ac:dyDescent="0.25">
      <c r="B89" s="7" t="s">
        <v>183</v>
      </c>
      <c r="C89" s="53"/>
      <c r="E89" s="221">
        <f>E85-E88</f>
        <v>142530.90000000037</v>
      </c>
      <c r="F89" s="151">
        <f>ROUNDDOWN(E89,-2)</f>
        <v>142500</v>
      </c>
      <c r="G89" s="140"/>
      <c r="H89" s="220"/>
      <c r="J89" s="8"/>
    </row>
    <row r="90" spans="1:11" ht="15" customHeight="1" thickBot="1" x14ac:dyDescent="0.3">
      <c r="A90" s="208"/>
      <c r="B90" s="222"/>
      <c r="C90" s="223"/>
      <c r="D90" s="222"/>
      <c r="E90" s="224"/>
      <c r="F90" s="225"/>
      <c r="G90" s="209"/>
      <c r="H90" s="226"/>
      <c r="I90" s="227"/>
      <c r="J90" s="220"/>
    </row>
    <row r="91" spans="1:11" ht="15" customHeight="1" x14ac:dyDescent="0.25">
      <c r="B91" s="177" t="s">
        <v>184</v>
      </c>
      <c r="C91" s="227"/>
      <c r="D91" s="227"/>
      <c r="E91" s="227"/>
      <c r="F91" s="227"/>
      <c r="G91" s="227"/>
      <c r="H91" s="227"/>
      <c r="I91" s="227"/>
      <c r="J91" s="220"/>
    </row>
    <row r="92" spans="1:11" ht="15" customHeight="1" x14ac:dyDescent="0.25">
      <c r="B92" s="53" t="s">
        <v>149</v>
      </c>
      <c r="C92" s="140"/>
      <c r="D92" s="140"/>
      <c r="E92" s="151">
        <f>+E66</f>
        <v>6041194.9000000004</v>
      </c>
      <c r="F92" s="227"/>
      <c r="G92" s="140"/>
      <c r="H92" s="181" t="s">
        <v>168</v>
      </c>
      <c r="I92" s="227"/>
      <c r="J92" s="220"/>
    </row>
    <row r="93" spans="1:11" ht="15" customHeight="1" x14ac:dyDescent="0.25">
      <c r="B93" s="213" t="s">
        <v>153</v>
      </c>
      <c r="C93" s="140"/>
      <c r="D93" s="140"/>
      <c r="E93" s="151">
        <f>+E67</f>
        <v>-5766100</v>
      </c>
      <c r="F93" s="227"/>
      <c r="G93" s="212">
        <v>44409</v>
      </c>
      <c r="H93" s="188">
        <f>E99*0.01</f>
        <v>1425</v>
      </c>
      <c r="I93" s="228" t="s">
        <v>169</v>
      </c>
      <c r="J93" s="228"/>
      <c r="K93" s="229" t="s">
        <v>185</v>
      </c>
    </row>
    <row r="94" spans="1:11" ht="15" customHeight="1" x14ac:dyDescent="0.25">
      <c r="B94" s="213" t="s">
        <v>186</v>
      </c>
      <c r="C94" s="140"/>
      <c r="D94" s="140"/>
      <c r="E94" s="151">
        <f>+G43*-1</f>
        <v>-40000</v>
      </c>
      <c r="F94" s="227"/>
      <c r="G94" s="212">
        <v>44440</v>
      </c>
      <c r="H94" s="188"/>
      <c r="I94" s="227"/>
      <c r="J94" s="230" t="s">
        <v>171</v>
      </c>
      <c r="K94" s="231">
        <v>1425</v>
      </c>
    </row>
    <row r="95" spans="1:11" ht="15" customHeight="1" x14ac:dyDescent="0.25">
      <c r="B95" s="213" t="s">
        <v>187</v>
      </c>
      <c r="C95" s="140"/>
      <c r="D95" s="140"/>
      <c r="E95" s="18">
        <f>+H76</f>
        <v>11086</v>
      </c>
      <c r="F95" s="227"/>
      <c r="G95" s="212">
        <v>44470</v>
      </c>
      <c r="H95" s="188"/>
      <c r="I95" s="227"/>
      <c r="J95" s="230" t="s">
        <v>172</v>
      </c>
      <c r="K95" s="231">
        <f>K94+1425</f>
        <v>2850</v>
      </c>
    </row>
    <row r="96" spans="1:11" ht="15" customHeight="1" x14ac:dyDescent="0.25">
      <c r="B96" s="213" t="s">
        <v>188</v>
      </c>
      <c r="C96" s="140"/>
      <c r="D96" s="140"/>
      <c r="E96" s="18">
        <f>+H79</f>
        <v>2350</v>
      </c>
      <c r="F96" s="227"/>
      <c r="G96" s="212">
        <v>44501</v>
      </c>
      <c r="H96" s="188"/>
      <c r="I96" s="227"/>
      <c r="J96" s="230" t="s">
        <v>173</v>
      </c>
      <c r="K96" s="231">
        <f>K95+1425</f>
        <v>4275</v>
      </c>
    </row>
    <row r="97" spans="1:12" ht="15" customHeight="1" x14ac:dyDescent="0.25">
      <c r="B97" s="213" t="s">
        <v>189</v>
      </c>
      <c r="C97" s="140"/>
      <c r="D97" s="140"/>
      <c r="E97" s="18">
        <f>+G44*-1</f>
        <v>-106000</v>
      </c>
      <c r="F97" s="227"/>
      <c r="G97" s="212">
        <v>44531</v>
      </c>
      <c r="H97" s="188"/>
      <c r="I97" s="227"/>
      <c r="J97" s="230" t="s">
        <v>174</v>
      </c>
      <c r="K97" s="231">
        <f>K96+1425</f>
        <v>5700</v>
      </c>
    </row>
    <row r="98" spans="1:12" ht="15" customHeight="1" thickBot="1" x14ac:dyDescent="0.3">
      <c r="E98" s="189">
        <f>SUM(E92:E97)</f>
        <v>142530.90000000037</v>
      </c>
      <c r="F98" s="227"/>
      <c r="G98" s="232"/>
      <c r="H98" s="207">
        <f>SUM(H93:H97)</f>
        <v>1425</v>
      </c>
      <c r="I98" s="227"/>
      <c r="J98" s="211"/>
    </row>
    <row r="99" spans="1:12" ht="15" customHeight="1" thickTop="1" x14ac:dyDescent="0.25">
      <c r="C99" s="140"/>
      <c r="D99" s="140"/>
      <c r="E99" s="151">
        <f>ROUNDDOWN(+E98,-2)</f>
        <v>142500</v>
      </c>
      <c r="F99" s="227"/>
      <c r="G99" s="227"/>
      <c r="H99" s="227"/>
      <c r="I99" s="227"/>
      <c r="J99" s="211"/>
    </row>
    <row r="100" spans="1:12" ht="15" customHeight="1" x14ac:dyDescent="0.25">
      <c r="C100" s="140"/>
      <c r="D100" s="140"/>
      <c r="E100" s="151"/>
      <c r="F100" s="227"/>
      <c r="G100" s="227"/>
      <c r="H100" s="227"/>
      <c r="I100" s="227"/>
      <c r="J100" s="211"/>
    </row>
    <row r="101" spans="1:12" ht="15" customHeight="1" thickBot="1" x14ac:dyDescent="0.3">
      <c r="C101" s="140"/>
      <c r="D101" s="140"/>
      <c r="E101" s="151"/>
      <c r="F101" s="227"/>
      <c r="G101" s="227"/>
      <c r="H101" s="227"/>
      <c r="I101" s="227"/>
      <c r="J101" s="211"/>
    </row>
    <row r="102" spans="1:12" s="46" customFormat="1" ht="15" customHeight="1" x14ac:dyDescent="0.25">
      <c r="A102" s="233" t="s">
        <v>190</v>
      </c>
      <c r="B102" s="234"/>
      <c r="C102" s="234"/>
      <c r="D102" s="234"/>
      <c r="E102" s="234"/>
      <c r="F102" s="234"/>
      <c r="G102" s="235" t="s">
        <v>191</v>
      </c>
      <c r="H102" s="236"/>
      <c r="K102" s="237"/>
      <c r="L102" s="53"/>
    </row>
    <row r="103" spans="1:12" s="46" customFormat="1" ht="15" customHeight="1" x14ac:dyDescent="0.25">
      <c r="A103" s="238" t="s">
        <v>192</v>
      </c>
      <c r="H103" s="81"/>
      <c r="K103" s="239"/>
      <c r="L103" s="53"/>
    </row>
    <row r="104" spans="1:12" s="46" customFormat="1" ht="15" customHeight="1" x14ac:dyDescent="0.25">
      <c r="A104" s="238" t="s">
        <v>193</v>
      </c>
      <c r="H104" s="81"/>
      <c r="K104" s="239"/>
      <c r="L104" s="53"/>
    </row>
    <row r="105" spans="1:12" s="46" customFormat="1" ht="15" customHeight="1" x14ac:dyDescent="0.2">
      <c r="A105" s="240" t="s">
        <v>194</v>
      </c>
      <c r="B105" s="241" t="s">
        <v>195</v>
      </c>
      <c r="C105" s="241"/>
      <c r="D105" s="241"/>
      <c r="E105" s="241"/>
      <c r="F105" s="241"/>
      <c r="G105" s="241"/>
      <c r="H105" s="242"/>
      <c r="I105" s="28"/>
      <c r="K105" s="243" t="s">
        <v>196</v>
      </c>
      <c r="L105" s="53"/>
    </row>
    <row r="106" spans="1:12" s="46" customFormat="1" ht="26.25" customHeight="1" x14ac:dyDescent="0.2">
      <c r="A106" s="240" t="s">
        <v>197</v>
      </c>
      <c r="B106" s="241" t="s">
        <v>198</v>
      </c>
      <c r="C106" s="241"/>
      <c r="D106" s="241"/>
      <c r="E106" s="241"/>
      <c r="F106" s="241"/>
      <c r="G106" s="241"/>
      <c r="H106" s="242"/>
      <c r="I106" s="28"/>
      <c r="K106" s="243" t="s">
        <v>199</v>
      </c>
      <c r="L106" s="53"/>
    </row>
    <row r="107" spans="1:12" s="46" customFormat="1" ht="26.25" customHeight="1" x14ac:dyDescent="0.2">
      <c r="A107" s="240" t="s">
        <v>200</v>
      </c>
      <c r="B107" s="241" t="s">
        <v>201</v>
      </c>
      <c r="C107" s="241"/>
      <c r="D107" s="241"/>
      <c r="E107" s="241"/>
      <c r="F107" s="241"/>
      <c r="G107" s="241"/>
      <c r="H107" s="242"/>
      <c r="I107" s="28"/>
      <c r="K107" s="243" t="s">
        <v>202</v>
      </c>
      <c r="L107" s="53"/>
    </row>
    <row r="108" spans="1:12" s="46" customFormat="1" ht="26.25" customHeight="1" x14ac:dyDescent="0.2">
      <c r="A108" s="240" t="s">
        <v>203</v>
      </c>
      <c r="B108" s="241" t="s">
        <v>204</v>
      </c>
      <c r="C108" s="241"/>
      <c r="D108" s="241"/>
      <c r="E108" s="241"/>
      <c r="F108" s="241"/>
      <c r="G108" s="241"/>
      <c r="H108" s="242"/>
      <c r="I108" s="28"/>
      <c r="K108" s="243" t="s">
        <v>205</v>
      </c>
      <c r="L108" s="53"/>
    </row>
    <row r="109" spans="1:12" s="46" customFormat="1" ht="15" customHeight="1" x14ac:dyDescent="0.2">
      <c r="A109" s="240" t="s">
        <v>206</v>
      </c>
      <c r="B109" s="241" t="s">
        <v>207</v>
      </c>
      <c r="C109" s="241"/>
      <c r="D109" s="241"/>
      <c r="E109" s="241"/>
      <c r="F109" s="241"/>
      <c r="G109" s="241"/>
      <c r="H109" s="242"/>
      <c r="I109" s="28"/>
      <c r="K109" s="243" t="s">
        <v>208</v>
      </c>
      <c r="L109" s="53"/>
    </row>
    <row r="110" spans="1:12" s="46" customFormat="1" ht="15" customHeight="1" x14ac:dyDescent="0.2">
      <c r="A110" s="240" t="s">
        <v>209</v>
      </c>
      <c r="B110" s="241" t="s">
        <v>210</v>
      </c>
      <c r="C110" s="241"/>
      <c r="D110" s="241"/>
      <c r="E110" s="241"/>
      <c r="F110" s="241"/>
      <c r="G110" s="241"/>
      <c r="H110" s="242"/>
      <c r="I110" s="28"/>
      <c r="K110" s="243" t="s">
        <v>211</v>
      </c>
      <c r="L110" s="53"/>
    </row>
    <row r="111" spans="1:12" s="46" customFormat="1" ht="25.5" customHeight="1" x14ac:dyDescent="0.2">
      <c r="A111" s="244"/>
      <c r="B111" s="245" t="s">
        <v>212</v>
      </c>
      <c r="C111" s="245"/>
      <c r="D111" s="245"/>
      <c r="E111" s="245"/>
      <c r="F111" s="245"/>
      <c r="G111" s="245"/>
      <c r="H111" s="246"/>
      <c r="J111" s="5"/>
    </row>
    <row r="112" spans="1:12" s="46" customFormat="1" ht="15" customHeight="1" thickBot="1" x14ac:dyDescent="0.25">
      <c r="A112" s="247"/>
      <c r="B112" s="248" t="s">
        <v>213</v>
      </c>
      <c r="C112" s="248"/>
      <c r="D112" s="248"/>
      <c r="E112" s="248"/>
      <c r="F112" s="248"/>
      <c r="G112" s="248"/>
      <c r="H112" s="249"/>
      <c r="J112" s="5"/>
    </row>
    <row r="113" spans="1:10" s="46" customFormat="1" ht="15" customHeight="1" thickBot="1" x14ac:dyDescent="0.25">
      <c r="A113" s="250"/>
      <c r="B113" s="251"/>
      <c r="C113" s="251"/>
      <c r="D113" s="251"/>
      <c r="E113" s="251"/>
      <c r="F113" s="251"/>
      <c r="G113" s="251"/>
      <c r="J113" s="5"/>
    </row>
    <row r="114" spans="1:10" s="46" customFormat="1" ht="15" customHeight="1" x14ac:dyDescent="0.25">
      <c r="A114" s="233" t="s">
        <v>190</v>
      </c>
      <c r="B114" s="252"/>
      <c r="C114" s="252"/>
      <c r="D114" s="252"/>
      <c r="E114" s="252"/>
      <c r="F114" s="252"/>
      <c r="G114" s="253" t="s">
        <v>214</v>
      </c>
      <c r="H114" s="254"/>
      <c r="J114" s="5"/>
    </row>
    <row r="115" spans="1:10" ht="15" customHeight="1" x14ac:dyDescent="0.25">
      <c r="A115" s="238" t="s">
        <v>215</v>
      </c>
      <c r="F115" s="255"/>
      <c r="G115" s="91"/>
      <c r="H115" s="256"/>
    </row>
    <row r="116" spans="1:10" ht="15" customHeight="1" x14ac:dyDescent="0.25">
      <c r="A116" s="238" t="s">
        <v>216</v>
      </c>
      <c r="F116" s="255"/>
      <c r="G116" s="91"/>
      <c r="H116" s="256"/>
    </row>
    <row r="117" spans="1:10" ht="15" customHeight="1" x14ac:dyDescent="0.25">
      <c r="A117" s="26"/>
      <c r="B117" s="46" t="s">
        <v>217</v>
      </c>
      <c r="D117" s="46" t="s">
        <v>218</v>
      </c>
      <c r="F117" s="255"/>
      <c r="G117" s="91"/>
      <c r="H117" s="256"/>
    </row>
    <row r="118" spans="1:10" ht="15" customHeight="1" x14ac:dyDescent="0.25">
      <c r="A118" s="26"/>
      <c r="B118" s="46" t="s">
        <v>219</v>
      </c>
      <c r="D118" s="46" t="s">
        <v>220</v>
      </c>
      <c r="F118" s="255"/>
      <c r="G118" s="91"/>
      <c r="H118" s="256"/>
    </row>
    <row r="119" spans="1:10" ht="15" customHeight="1" x14ac:dyDescent="0.25">
      <c r="A119" s="26"/>
      <c r="B119" s="46" t="s">
        <v>221</v>
      </c>
      <c r="D119" s="46" t="s">
        <v>222</v>
      </c>
      <c r="F119" s="255"/>
      <c r="G119" s="91"/>
      <c r="H119" s="256"/>
    </row>
    <row r="120" spans="1:10" ht="15" customHeight="1" x14ac:dyDescent="0.25">
      <c r="A120" s="26"/>
      <c r="B120" s="27" t="s">
        <v>223</v>
      </c>
      <c r="D120" s="46" t="s">
        <v>224</v>
      </c>
      <c r="F120" s="255"/>
      <c r="G120" s="91"/>
      <c r="H120" s="256"/>
    </row>
    <row r="121" spans="1:10" ht="15" customHeight="1" x14ac:dyDescent="0.25">
      <c r="A121" s="26"/>
      <c r="B121" s="46" t="s">
        <v>225</v>
      </c>
      <c r="D121" s="46" t="s">
        <v>226</v>
      </c>
      <c r="F121" s="255"/>
      <c r="G121" s="91"/>
      <c r="H121" s="256"/>
    </row>
    <row r="122" spans="1:10" ht="15" customHeight="1" x14ac:dyDescent="0.25">
      <c r="A122" s="26"/>
      <c r="B122" s="46" t="s">
        <v>227</v>
      </c>
      <c r="D122" s="46" t="s">
        <v>228</v>
      </c>
      <c r="F122" s="255"/>
      <c r="G122" s="91"/>
      <c r="H122" s="256"/>
      <c r="J122" s="7"/>
    </row>
    <row r="123" spans="1:10" ht="15" customHeight="1" x14ac:dyDescent="0.25">
      <c r="A123" s="26"/>
      <c r="B123" s="27" t="s">
        <v>229</v>
      </c>
      <c r="D123" s="46" t="s">
        <v>230</v>
      </c>
      <c r="F123" s="255"/>
      <c r="G123" s="91"/>
      <c r="H123" s="256"/>
      <c r="J123" s="7"/>
    </row>
    <row r="124" spans="1:10" ht="15" customHeight="1" thickBot="1" x14ac:dyDescent="0.3">
      <c r="A124" s="257"/>
      <c r="B124" s="258" t="s">
        <v>231</v>
      </c>
      <c r="C124" s="222"/>
      <c r="D124" s="258" t="s">
        <v>232</v>
      </c>
      <c r="E124" s="222"/>
      <c r="F124" s="222"/>
      <c r="G124" s="222"/>
      <c r="H124" s="259"/>
      <c r="J124" s="7"/>
    </row>
    <row r="125" spans="1:10" ht="15" customHeight="1" thickBot="1" x14ac:dyDescent="0.3">
      <c r="J125" s="7"/>
    </row>
    <row r="126" spans="1:10" ht="15" customHeight="1" x14ac:dyDescent="0.25">
      <c r="B126" s="260" t="s">
        <v>233</v>
      </c>
      <c r="C126" s="261"/>
      <c r="D126" s="262"/>
      <c r="E126" s="263" t="s">
        <v>234</v>
      </c>
      <c r="F126" s="264"/>
      <c r="G126" s="263" t="s">
        <v>235</v>
      </c>
      <c r="H126" s="265"/>
      <c r="J126" s="7"/>
    </row>
    <row r="127" spans="1:10" ht="15" customHeight="1" x14ac:dyDescent="0.25">
      <c r="B127" s="266" t="s">
        <v>236</v>
      </c>
      <c r="C127" s="140"/>
      <c r="D127" s="181"/>
      <c r="E127" s="77" t="s">
        <v>237</v>
      </c>
      <c r="G127" s="77" t="s">
        <v>238</v>
      </c>
      <c r="H127" s="256"/>
      <c r="J127" s="7"/>
    </row>
    <row r="128" spans="1:10" ht="15" customHeight="1" x14ac:dyDescent="0.25">
      <c r="B128" s="266" t="s">
        <v>239</v>
      </c>
      <c r="C128" s="140"/>
      <c r="D128" s="181"/>
      <c r="E128" s="77" t="s">
        <v>240</v>
      </c>
      <c r="G128" s="77" t="s">
        <v>241</v>
      </c>
      <c r="H128" s="256"/>
      <c r="J128" s="7"/>
    </row>
    <row r="129" spans="2:10" ht="15" customHeight="1" x14ac:dyDescent="0.25">
      <c r="B129" s="266" t="s">
        <v>242</v>
      </c>
      <c r="C129" s="140"/>
      <c r="D129" s="181"/>
      <c r="E129" s="77" t="s">
        <v>243</v>
      </c>
      <c r="H129" s="256"/>
      <c r="J129" s="7"/>
    </row>
    <row r="130" spans="2:10" ht="15" customHeight="1" x14ac:dyDescent="0.25">
      <c r="B130" s="266" t="s">
        <v>16</v>
      </c>
      <c r="C130" s="140"/>
      <c r="D130" s="181"/>
      <c r="E130" s="77" t="s">
        <v>244</v>
      </c>
      <c r="H130" s="256"/>
      <c r="J130" s="7"/>
    </row>
    <row r="131" spans="2:10" ht="15" customHeight="1" x14ac:dyDescent="0.25">
      <c r="B131" s="266" t="s">
        <v>245</v>
      </c>
      <c r="C131" s="140"/>
      <c r="D131" s="181"/>
      <c r="H131" s="256"/>
      <c r="J131" s="7"/>
    </row>
    <row r="132" spans="2:10" ht="15" customHeight="1" x14ac:dyDescent="0.25">
      <c r="B132" s="266" t="s">
        <v>246</v>
      </c>
      <c r="C132" s="140"/>
      <c r="D132" s="181"/>
      <c r="H132" s="256"/>
      <c r="J132" s="7"/>
    </row>
    <row r="133" spans="2:10" ht="15" customHeight="1" x14ac:dyDescent="0.25">
      <c r="B133" s="266" t="s">
        <v>247</v>
      </c>
      <c r="C133" s="140"/>
      <c r="D133" s="267">
        <f>SUM(C127:C133)</f>
        <v>0</v>
      </c>
      <c r="H133" s="256"/>
      <c r="J133" s="7"/>
    </row>
    <row r="134" spans="2:10" ht="15" customHeight="1" x14ac:dyDescent="0.25">
      <c r="B134" s="268" t="s">
        <v>248</v>
      </c>
      <c r="C134" s="140"/>
      <c r="E134" s="269"/>
      <c r="H134" s="256"/>
      <c r="J134" s="7"/>
    </row>
    <row r="135" spans="2:10" ht="15" customHeight="1" x14ac:dyDescent="0.25">
      <c r="B135" s="266" t="s">
        <v>249</v>
      </c>
      <c r="C135" s="270"/>
      <c r="H135" s="256"/>
      <c r="J135" s="7"/>
    </row>
    <row r="136" spans="2:10" ht="15" customHeight="1" x14ac:dyDescent="0.25">
      <c r="B136" s="266" t="s">
        <v>250</v>
      </c>
      <c r="C136" s="270"/>
      <c r="H136" s="256"/>
      <c r="J136" s="7"/>
    </row>
    <row r="137" spans="2:10" ht="15" customHeight="1" x14ac:dyDescent="0.25">
      <c r="B137" s="266" t="s">
        <v>251</v>
      </c>
      <c r="C137" s="270"/>
      <c r="D137" s="7">
        <f>SUM(C135:C137)</f>
        <v>0</v>
      </c>
      <c r="H137" s="256"/>
      <c r="J137" s="7"/>
    </row>
    <row r="138" spans="2:10" ht="15" customHeight="1" thickBot="1" x14ac:dyDescent="0.3">
      <c r="B138" s="271" t="s">
        <v>252</v>
      </c>
      <c r="C138" s="272"/>
      <c r="D138" s="273"/>
      <c r="E138" s="222"/>
      <c r="F138" s="222"/>
      <c r="G138" s="222"/>
      <c r="H138" s="259"/>
      <c r="J138" s="7"/>
    </row>
    <row r="139" spans="2:10" ht="15" customHeight="1" x14ac:dyDescent="0.25">
      <c r="D139" s="68">
        <f>D133+D137+D138</f>
        <v>0</v>
      </c>
      <c r="J139" s="7"/>
    </row>
  </sheetData>
  <mergeCells count="32">
    <mergeCell ref="B112:G112"/>
    <mergeCell ref="G114:H114"/>
    <mergeCell ref="B106:H106"/>
    <mergeCell ref="B107:H107"/>
    <mergeCell ref="B108:H108"/>
    <mergeCell ref="B109:H109"/>
    <mergeCell ref="B110:H110"/>
    <mergeCell ref="B111:H111"/>
    <mergeCell ref="K68:L68"/>
    <mergeCell ref="I70:J70"/>
    <mergeCell ref="I83:J83"/>
    <mergeCell ref="I93:J93"/>
    <mergeCell ref="G102:H102"/>
    <mergeCell ref="B105:H105"/>
    <mergeCell ref="K52:L52"/>
    <mergeCell ref="F53:G53"/>
    <mergeCell ref="F54:G54"/>
    <mergeCell ref="K57:L57"/>
    <mergeCell ref="K65:L65"/>
    <mergeCell ref="K67:L67"/>
    <mergeCell ref="C45:D45"/>
    <mergeCell ref="C46:D46"/>
    <mergeCell ref="A49:I49"/>
    <mergeCell ref="A50:B50"/>
    <mergeCell ref="F50:I50"/>
    <mergeCell ref="F52:H52"/>
    <mergeCell ref="A1:C1"/>
    <mergeCell ref="D1:H1"/>
    <mergeCell ref="A2:C2"/>
    <mergeCell ref="F2:G2"/>
    <mergeCell ref="C43:D43"/>
    <mergeCell ref="C44:E44"/>
  </mergeCell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vt:lpstr>
      <vt:lpst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2021-10-03T15:59:23Z</dcterms:created>
  <dcterms:modified xsi:type="dcterms:W3CDTF">2021-10-03T15:59:40Z</dcterms:modified>
</cp:coreProperties>
</file>